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baylor0-my.sharepoint.com/personal/steve_rich_baylor_edu/Documents/Documents/Teaching/2024 Fall/Notes and PLNs/"/>
    </mc:Choice>
  </mc:AlternateContent>
  <xr:revisionPtr revIDLastSave="0" documentId="8_{B3796AD6-BCEE-4B7C-87E1-4F6478E9F463}" xr6:coauthVersionLast="47" xr6:coauthVersionMax="47" xr10:uidLastSave="{00000000-0000-0000-0000-000000000000}"/>
  <bookViews>
    <workbookView xWindow="25080" yWindow="-120" windowWidth="15990" windowHeight="24840" xr2:uid="{00000000-000D-0000-FFFF-FFFF00000000}"/>
  </bookViews>
  <sheets>
    <sheet name="Binomial" sheetId="1" r:id="rId1"/>
    <sheet name="Multiperiod Binomial-$" sheetId="2" r:id="rId2"/>
    <sheet name="Multiperiod Binomial-%" sheetId="5" r:id="rId3"/>
    <sheet name="Black-Scholes" sheetId="6" r:id="rId4"/>
    <sheet name="Option beta" sheetId="3" r:id="rId5"/>
    <sheet name="Binomial Tree" sheetId="8" r:id="rId6"/>
    <sheet name="Debt Beta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6" l="1"/>
  <c r="B15" i="6" s="1"/>
  <c r="D12" i="7"/>
  <c r="D15" i="7" s="1"/>
  <c r="C12" i="7"/>
  <c r="C15" i="7" s="1"/>
  <c r="B12" i="7"/>
  <c r="B15" i="7" s="1"/>
  <c r="E7" i="3"/>
  <c r="C7" i="3" s="1"/>
  <c r="B6" i="3"/>
  <c r="B5" i="3" s="1"/>
  <c r="B4" i="3" s="1"/>
  <c r="B3" i="3" s="1"/>
  <c r="D6" i="3"/>
  <c r="D5" i="3" s="1"/>
  <c r="D4" i="3" s="1"/>
  <c r="D3" i="3" s="1"/>
  <c r="D2" i="3" s="1"/>
  <c r="E6" i="3"/>
  <c r="E5" i="3"/>
  <c r="E4" i="3" s="1"/>
  <c r="E3" i="3" s="1"/>
  <c r="E2" i="3" s="1"/>
  <c r="B17" i="6"/>
  <c r="B14" i="5"/>
  <c r="B19" i="5" s="1"/>
  <c r="B20" i="5"/>
  <c r="B50" i="5" s="1"/>
  <c r="D27" i="1"/>
  <c r="D30" i="1" s="1"/>
  <c r="D28" i="1"/>
  <c r="D17" i="1"/>
  <c r="D20" i="1" s="1"/>
  <c r="D18" i="1"/>
  <c r="B8" i="3"/>
  <c r="B9" i="3" s="1"/>
  <c r="B10" i="3" s="1"/>
  <c r="B11" i="3" s="1"/>
  <c r="B12" i="3" s="1"/>
  <c r="B13" i="3" s="1"/>
  <c r="D8" i="3"/>
  <c r="D9" i="3"/>
  <c r="D10" i="3" s="1"/>
  <c r="D11" i="3" s="1"/>
  <c r="D12" i="3" s="1"/>
  <c r="D13" i="3" s="1"/>
  <c r="E8" i="3"/>
  <c r="E9" i="3" s="1"/>
  <c r="E10" i="3" s="1"/>
  <c r="E11" i="3"/>
  <c r="E12" i="3" s="1"/>
  <c r="E13" i="3" s="1"/>
  <c r="F7" i="3"/>
  <c r="G7" i="3" s="1"/>
  <c r="J7" i="3" s="1"/>
  <c r="K7" i="3" s="1"/>
  <c r="B13" i="5"/>
  <c r="B17" i="5" s="1"/>
  <c r="B24" i="5" s="1"/>
  <c r="B47" i="5"/>
  <c r="B13" i="2"/>
  <c r="B17" i="2" s="1"/>
  <c r="B47" i="2" s="1"/>
  <c r="B54" i="2" s="1"/>
  <c r="B18" i="2"/>
  <c r="B25" i="2" s="1"/>
  <c r="B48" i="2"/>
  <c r="B24" i="2"/>
  <c r="B31" i="2" s="1"/>
  <c r="B14" i="2"/>
  <c r="B19" i="2" s="1"/>
  <c r="B49" i="2" s="1"/>
  <c r="C27" i="1"/>
  <c r="C28" i="1"/>
  <c r="B27" i="1"/>
  <c r="B30" i="1" s="1"/>
  <c r="B28" i="1"/>
  <c r="C17" i="1"/>
  <c r="C20" i="1" s="1"/>
  <c r="C18" i="1"/>
  <c r="B18" i="1"/>
  <c r="B17" i="1"/>
  <c r="B20" i="1"/>
  <c r="D31" i="1" l="1"/>
  <c r="B31" i="1"/>
  <c r="B12" i="1" s="1"/>
  <c r="B18" i="5"/>
  <c r="B27" i="5"/>
  <c r="B55" i="2"/>
  <c r="C30" i="1"/>
  <c r="C31" i="1" s="1"/>
  <c r="C12" i="1" s="1"/>
  <c r="H7" i="3"/>
  <c r="I7" i="3" s="1"/>
  <c r="L7" i="3" s="1"/>
  <c r="M7" i="3" s="1"/>
  <c r="B2" i="3"/>
  <c r="B34" i="1"/>
  <c r="B33" i="1"/>
  <c r="B26" i="2"/>
  <c r="B32" i="2"/>
  <c r="E33" i="2" s="1"/>
  <c r="D34" i="1"/>
  <c r="B18" i="6"/>
  <c r="B21" i="6" s="1"/>
  <c r="B20" i="6"/>
  <c r="B16" i="7"/>
  <c r="B17" i="7"/>
  <c r="B18" i="7" s="1"/>
  <c r="B23" i="1"/>
  <c r="B56" i="2"/>
  <c r="E56" i="2"/>
  <c r="E55" i="2"/>
  <c r="B49" i="5"/>
  <c r="B59" i="5" s="1"/>
  <c r="B60" i="5" s="1"/>
  <c r="B26" i="5"/>
  <c r="B36" i="5" s="1"/>
  <c r="C16" i="7"/>
  <c r="C17" i="7"/>
  <c r="C18" i="7" s="1"/>
  <c r="B21" i="1"/>
  <c r="B11" i="1" s="1"/>
  <c r="C21" i="1"/>
  <c r="C24" i="1" s="1"/>
  <c r="E32" i="2"/>
  <c r="B20" i="2"/>
  <c r="D21" i="1"/>
  <c r="D11" i="1" s="1"/>
  <c r="C8" i="3"/>
  <c r="C6" i="3"/>
  <c r="D17" i="7"/>
  <c r="D18" i="7" s="1"/>
  <c r="D16" i="7"/>
  <c r="D33" i="1"/>
  <c r="D12" i="1"/>
  <c r="B25" i="5" l="1"/>
  <c r="B48" i="5"/>
  <c r="B24" i="1"/>
  <c r="C11" i="1"/>
  <c r="E60" i="5"/>
  <c r="B61" i="5"/>
  <c r="E61" i="5"/>
  <c r="C11" i="6"/>
  <c r="B10" i="6"/>
  <c r="C10" i="6"/>
  <c r="B11" i="6"/>
  <c r="D11" i="6"/>
  <c r="D23" i="1"/>
  <c r="F6" i="3"/>
  <c r="C5" i="3"/>
  <c r="B27" i="2"/>
  <c r="B50" i="2"/>
  <c r="D24" i="1"/>
  <c r="C23" i="1"/>
  <c r="D13" i="7"/>
  <c r="D20" i="7"/>
  <c r="D21" i="7" s="1"/>
  <c r="C21" i="7"/>
  <c r="C13" i="7"/>
  <c r="C20" i="7"/>
  <c r="B36" i="2"/>
  <c r="C33" i="1"/>
  <c r="D10" i="6"/>
  <c r="C9" i="3"/>
  <c r="F8" i="3"/>
  <c r="B37" i="5"/>
  <c r="B38" i="5" s="1"/>
  <c r="B20" i="7"/>
  <c r="B21" i="7" s="1"/>
  <c r="B13" i="7"/>
  <c r="B33" i="2"/>
  <c r="C34" i="1"/>
  <c r="B54" i="5" l="1"/>
  <c r="B31" i="5"/>
  <c r="B32" i="5"/>
  <c r="C4" i="3"/>
  <c r="F5" i="3"/>
  <c r="G8" i="3"/>
  <c r="J8" i="3" s="1"/>
  <c r="K8" i="3" s="1"/>
  <c r="H8" i="3"/>
  <c r="I8" i="3" s="1"/>
  <c r="B59" i="2"/>
  <c r="G6" i="3"/>
  <c r="J6" i="3" s="1"/>
  <c r="K6" i="3" s="1"/>
  <c r="H6" i="3"/>
  <c r="I6" i="3" s="1"/>
  <c r="G56" i="2"/>
  <c r="C10" i="3"/>
  <c r="F9" i="3"/>
  <c r="B37" i="2"/>
  <c r="B38" i="2" s="1"/>
  <c r="E32" i="5" l="1"/>
  <c r="E33" i="5"/>
  <c r="B33" i="5"/>
  <c r="B41" i="5" s="1"/>
  <c r="B42" i="5" s="1"/>
  <c r="B43" i="5" s="1"/>
  <c r="L8" i="3"/>
  <c r="M8" i="3" s="1"/>
  <c r="B55" i="5"/>
  <c r="B56" i="5" s="1"/>
  <c r="B64" i="5" s="1"/>
  <c r="G61" i="2"/>
  <c r="B41" i="2"/>
  <c r="B42" i="2" s="1"/>
  <c r="G9" i="3"/>
  <c r="J9" i="3" s="1"/>
  <c r="K9" i="3" s="1"/>
  <c r="H9" i="3"/>
  <c r="I9" i="3" s="1"/>
  <c r="L9" i="3" s="1"/>
  <c r="M9" i="3" s="1"/>
  <c r="E60" i="2"/>
  <c r="E61" i="2"/>
  <c r="B60" i="2"/>
  <c r="B61" i="2" s="1"/>
  <c r="C3" i="3"/>
  <c r="F4" i="3"/>
  <c r="C11" i="3"/>
  <c r="F10" i="3"/>
  <c r="L6" i="3"/>
  <c r="M6" i="3" s="1"/>
  <c r="G5" i="3"/>
  <c r="J5" i="3" s="1"/>
  <c r="K5" i="3" s="1"/>
  <c r="H5" i="3"/>
  <c r="I5" i="3" s="1"/>
  <c r="B65" i="5" l="1"/>
  <c r="E65" i="5" s="1"/>
  <c r="B66" i="5"/>
  <c r="E66" i="5"/>
  <c r="E55" i="5"/>
  <c r="E56" i="5"/>
  <c r="B64" i="2"/>
  <c r="B65" i="2" s="1"/>
  <c r="G10" i="3"/>
  <c r="J10" i="3" s="1"/>
  <c r="K10" i="3" s="1"/>
  <c r="H10" i="3"/>
  <c r="I10" i="3" s="1"/>
  <c r="E42" i="5"/>
  <c r="L5" i="3"/>
  <c r="M5" i="3" s="1"/>
  <c r="C2" i="3"/>
  <c r="F3" i="3"/>
  <c r="E43" i="5"/>
  <c r="E43" i="2"/>
  <c r="E42" i="2"/>
  <c r="B43" i="2"/>
  <c r="G66" i="2" s="1"/>
  <c r="G4" i="3"/>
  <c r="J4" i="3" s="1"/>
  <c r="K4" i="3" s="1"/>
  <c r="H4" i="3"/>
  <c r="I4" i="3" s="1"/>
  <c r="C12" i="3"/>
  <c r="F11" i="3"/>
  <c r="L4" i="3" l="1"/>
  <c r="M4" i="3" s="1"/>
  <c r="L10" i="3"/>
  <c r="M10" i="3" s="1"/>
  <c r="G3" i="3"/>
  <c r="J3" i="3" s="1"/>
  <c r="K3" i="3" s="1"/>
  <c r="H3" i="3"/>
  <c r="I3" i="3" s="1"/>
  <c r="C13" i="3"/>
  <c r="F12" i="3"/>
  <c r="F2" i="3"/>
  <c r="G11" i="3"/>
  <c r="J11" i="3" s="1"/>
  <c r="K11" i="3" s="1"/>
  <c r="H11" i="3"/>
  <c r="I11" i="3" s="1"/>
  <c r="E65" i="2"/>
  <c r="B66" i="2"/>
  <c r="E66" i="2"/>
  <c r="L11" i="3" l="1"/>
  <c r="M11" i="3" s="1"/>
  <c r="G12" i="3"/>
  <c r="J12" i="3" s="1"/>
  <c r="K12" i="3" s="1"/>
  <c r="H12" i="3"/>
  <c r="I12" i="3" s="1"/>
  <c r="G2" i="3"/>
  <c r="J2" i="3" s="1"/>
  <c r="K2" i="3" s="1"/>
  <c r="H2" i="3"/>
  <c r="I2" i="3" s="1"/>
  <c r="F13" i="3"/>
  <c r="L3" i="3"/>
  <c r="M3" i="3" s="1"/>
  <c r="L2" i="3" l="1"/>
  <c r="M2" i="3" s="1"/>
  <c r="G13" i="3"/>
  <c r="J13" i="3" s="1"/>
  <c r="K13" i="3" s="1"/>
  <c r="H13" i="3"/>
  <c r="I13" i="3" s="1"/>
  <c r="L12" i="3"/>
  <c r="M12" i="3" s="1"/>
  <c r="L13" i="3" l="1"/>
  <c r="M13" i="3" s="1"/>
</calcChain>
</file>

<file path=xl/sharedStrings.xml><?xml version="1.0" encoding="utf-8"?>
<sst xmlns="http://schemas.openxmlformats.org/spreadsheetml/2006/main" count="251" uniqueCount="107">
  <si>
    <t>Stock price</t>
  </si>
  <si>
    <t>Su</t>
  </si>
  <si>
    <t>Sd</t>
  </si>
  <si>
    <t>rf</t>
  </si>
  <si>
    <t>K</t>
  </si>
  <si>
    <t>Cu</t>
  </si>
  <si>
    <t>Cd</t>
  </si>
  <si>
    <t>D</t>
  </si>
  <si>
    <t>B</t>
  </si>
  <si>
    <t>Payoff(u)</t>
  </si>
  <si>
    <t>Payoff(d)</t>
  </si>
  <si>
    <t>C</t>
  </si>
  <si>
    <t>Input</t>
  </si>
  <si>
    <t>Results</t>
  </si>
  <si>
    <t>Calculations</t>
  </si>
  <si>
    <t>P</t>
  </si>
  <si>
    <t>Pu</t>
  </si>
  <si>
    <t>Pd</t>
  </si>
  <si>
    <t>Call</t>
  </si>
  <si>
    <t>Put</t>
  </si>
  <si>
    <t>Stock Price</t>
  </si>
  <si>
    <t>%U</t>
  </si>
  <si>
    <t>%D</t>
  </si>
  <si>
    <t>t=0</t>
  </si>
  <si>
    <t>t=1</t>
  </si>
  <si>
    <t>t=2</t>
  </si>
  <si>
    <t>Suu</t>
  </si>
  <si>
    <t>Sud</t>
  </si>
  <si>
    <t>Sdu</t>
  </si>
  <si>
    <t>Sdd</t>
  </si>
  <si>
    <t>Cuu</t>
  </si>
  <si>
    <t>Cud</t>
  </si>
  <si>
    <t>Cdu</t>
  </si>
  <si>
    <t>Cdd</t>
  </si>
  <si>
    <t>$U</t>
  </si>
  <si>
    <t>$D</t>
  </si>
  <si>
    <t>U</t>
  </si>
  <si>
    <t>Value at t=1</t>
  </si>
  <si>
    <t>Puu</t>
  </si>
  <si>
    <t>Pud</t>
  </si>
  <si>
    <t>Pdu</t>
  </si>
  <si>
    <t>Pdd</t>
  </si>
  <si>
    <t>Check</t>
  </si>
  <si>
    <t>Value at t=0</t>
  </si>
  <si>
    <t>Data</t>
  </si>
  <si>
    <t>Results and Calculations</t>
  </si>
  <si>
    <r>
      <t>b</t>
    </r>
    <r>
      <rPr>
        <sz val="10"/>
        <rFont val="Arial"/>
        <family val="2"/>
      </rPr>
      <t>S</t>
    </r>
  </si>
  <si>
    <t>S</t>
  </si>
  <si>
    <t>PV(K)</t>
  </si>
  <si>
    <t>s</t>
  </si>
  <si>
    <t>T</t>
  </si>
  <si>
    <t>d1</t>
  </si>
  <si>
    <t>d2</t>
  </si>
  <si>
    <r>
      <t>N(d1)=</t>
    </r>
    <r>
      <rPr>
        <sz val="10"/>
        <rFont val="Symbol"/>
        <family val="1"/>
        <charset val="2"/>
      </rPr>
      <t>D</t>
    </r>
  </si>
  <si>
    <r>
      <t>D</t>
    </r>
    <r>
      <rPr>
        <sz val="10"/>
        <rFont val="Arial"/>
        <family val="2"/>
      </rPr>
      <t>S</t>
    </r>
  </si>
  <si>
    <t>N(d2)</t>
  </si>
  <si>
    <t>Lev Ratio</t>
  </si>
  <si>
    <r>
      <t>b</t>
    </r>
    <r>
      <rPr>
        <sz val="10"/>
        <rFont val="Arial"/>
        <family val="2"/>
      </rPr>
      <t>Opt</t>
    </r>
  </si>
  <si>
    <t>N(d1)</t>
  </si>
  <si>
    <t>Values</t>
  </si>
  <si>
    <t>Input Variables</t>
  </si>
  <si>
    <t>Work Area</t>
  </si>
  <si>
    <t>Maturity Value of Debt</t>
  </si>
  <si>
    <t>Market value of equity</t>
  </si>
  <si>
    <t>Market value of debt</t>
  </si>
  <si>
    <t>Beta of equity</t>
  </si>
  <si>
    <t>Risk-free rate</t>
  </si>
  <si>
    <t>Maturity of debt</t>
  </si>
  <si>
    <t>Implied volatility of firm's assets</t>
  </si>
  <si>
    <r>
      <t>b</t>
    </r>
    <r>
      <rPr>
        <sz val="10"/>
        <rFont val="Times New Roman"/>
        <family val="1"/>
      </rPr>
      <t>D</t>
    </r>
  </si>
  <si>
    <t>PV(Debt Maturity)</t>
  </si>
  <si>
    <r>
      <t>D</t>
    </r>
    <r>
      <rPr>
        <sz val="10"/>
        <rFont val="Times New Roman"/>
        <family val="1"/>
      </rPr>
      <t>=N(d1)</t>
    </r>
  </si>
  <si>
    <t>Book</t>
  </si>
  <si>
    <t>Ex.</t>
  </si>
  <si>
    <r>
      <t>b</t>
    </r>
    <r>
      <rPr>
        <sz val="10"/>
        <rFont val="Times New Roman"/>
        <family val="1"/>
      </rPr>
      <t>U</t>
    </r>
  </si>
  <si>
    <t>Portfolio = 1(26) - 14.2857(1.05) = 11</t>
  </si>
  <si>
    <t>Portfolio = 1(16) - 14.2857(1.05) = 1</t>
  </si>
  <si>
    <t>S = 19</t>
  </si>
  <si>
    <t>K = 15</t>
  </si>
  <si>
    <t>Cu = 11</t>
  </si>
  <si>
    <t>Su = 26</t>
  </si>
  <si>
    <t>Sd = 16</t>
  </si>
  <si>
    <t>Cd = 1</t>
  </si>
  <si>
    <t>rf=.05</t>
  </si>
  <si>
    <t>K = 20</t>
  </si>
  <si>
    <t>Cu = 6</t>
  </si>
  <si>
    <t>Portfolio = .6(26) - 9.1429(1.05) = 6</t>
  </si>
  <si>
    <t>Portfolio = .6(16) - 9.1429(1.05) = 1</t>
  </si>
  <si>
    <t>D = 1</t>
  </si>
  <si>
    <t>B = -14.2857</t>
  </si>
  <si>
    <t>C = 4.71</t>
  </si>
  <si>
    <t>Cost of portfolio = 4.71</t>
  </si>
  <si>
    <t xml:space="preserve">        = 19(1) - 14.2857</t>
  </si>
  <si>
    <t>D = .6</t>
  </si>
  <si>
    <t>B = -9.1429</t>
  </si>
  <si>
    <t>Cost of portfolio = 2.26</t>
  </si>
  <si>
    <t xml:space="preserve">        = 19(.6) - 9.1429</t>
  </si>
  <si>
    <t>C = 2.26</t>
  </si>
  <si>
    <t>D = -0.4</t>
  </si>
  <si>
    <t>B = 9.0948</t>
  </si>
  <si>
    <t>Cost of portfolio = 2.305</t>
  </si>
  <si>
    <t xml:space="preserve">        = 19(-.4) + 9.9048</t>
  </si>
  <si>
    <t>P = C = 2.305</t>
  </si>
  <si>
    <t>Pu = 0</t>
  </si>
  <si>
    <t>Portfolio = -.4(26) + 9.9048(1.05) = 0</t>
  </si>
  <si>
    <t>Pd = 4</t>
  </si>
  <si>
    <t>Portfolio = -.4(16) + 9.9048(1.05) =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</si>
</sst>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"/>
  </numFmts>
  <fonts count="14" x14ac:knownFonts="1">
    <font>
      <sz val="10"/>
      <name val="Arial"/>
    </font>
    <font>
      <sz val="10"/>
      <name val="Symbol"/>
      <family val="1"/>
      <charset val="2"/>
    </font>
    <font>
      <b/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u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4"/>
      <name val="Symbol"/>
      <family val="1"/>
      <charset val="2"/>
    </font>
    <font>
      <sz val="10"/>
      <color theme="4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165" fontId="0" fillId="0" borderId="0" xfId="0" applyNumberFormat="1"/>
    <xf numFmtId="0" fontId="4" fillId="0" borderId="0" xfId="0" applyFont="1"/>
    <xf numFmtId="0" fontId="5" fillId="0" borderId="0" xfId="0" applyFont="1"/>
    <xf numFmtId="2" fontId="0" fillId="0" borderId="0" xfId="0" applyNumberFormat="1"/>
    <xf numFmtId="0" fontId="6" fillId="0" borderId="0" xfId="0" applyFont="1"/>
    <xf numFmtId="164" fontId="0" fillId="0" borderId="0" xfId="0" applyNumberFormat="1"/>
    <xf numFmtId="0" fontId="7" fillId="0" borderId="0" xfId="0" applyFont="1"/>
    <xf numFmtId="0" fontId="8" fillId="0" borderId="0" xfId="0" applyFont="1" applyAlignment="1">
      <alignment horizontal="right"/>
    </xf>
    <xf numFmtId="0" fontId="8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4</xdr:row>
      <xdr:rowOff>28575</xdr:rowOff>
    </xdr:from>
    <xdr:to>
      <xdr:col>3</xdr:col>
      <xdr:colOff>542925</xdr:colOff>
      <xdr:row>6</xdr:row>
      <xdr:rowOff>76200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CxnSpPr/>
      </xdr:nvCxnSpPr>
      <xdr:spPr>
        <a:xfrm flipV="1">
          <a:off x="419100" y="676275"/>
          <a:ext cx="1952625" cy="371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419100</xdr:colOff>
      <xdr:row>6</xdr:row>
      <xdr:rowOff>85725</xdr:rowOff>
    </xdr:from>
    <xdr:to>
      <xdr:col>3</xdr:col>
      <xdr:colOff>495300</xdr:colOff>
      <xdr:row>8</xdr:row>
      <xdr:rowOff>38100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>
          <a:off x="419100" y="1057275"/>
          <a:ext cx="1905000" cy="276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419100</xdr:colOff>
      <xdr:row>18</xdr:row>
      <xdr:rowOff>76200</xdr:rowOff>
    </xdr:from>
    <xdr:to>
      <xdr:col>3</xdr:col>
      <xdr:colOff>552450</xdr:colOff>
      <xdr:row>20</xdr:row>
      <xdr:rowOff>76200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CxnSpPr/>
      </xdr:nvCxnSpPr>
      <xdr:spPr>
        <a:xfrm flipV="1">
          <a:off x="419100" y="2990850"/>
          <a:ext cx="1962150" cy="323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419100</xdr:colOff>
      <xdr:row>20</xdr:row>
      <xdr:rowOff>85725</xdr:rowOff>
    </xdr:from>
    <xdr:to>
      <xdr:col>3</xdr:col>
      <xdr:colOff>581025</xdr:colOff>
      <xdr:row>22</xdr:row>
      <xdr:rowOff>104775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CxnSpPr/>
      </xdr:nvCxnSpPr>
      <xdr:spPr>
        <a:xfrm>
          <a:off x="419100" y="3324225"/>
          <a:ext cx="1990725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419100</xdr:colOff>
      <xdr:row>4</xdr:row>
      <xdr:rowOff>76200</xdr:rowOff>
    </xdr:from>
    <xdr:to>
      <xdr:col>13</xdr:col>
      <xdr:colOff>552450</xdr:colOff>
      <xdr:row>6</xdr:row>
      <xdr:rowOff>76200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CxnSpPr/>
      </xdr:nvCxnSpPr>
      <xdr:spPr>
        <a:xfrm flipV="1">
          <a:off x="419100" y="2990850"/>
          <a:ext cx="1962150" cy="3238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419100</xdr:colOff>
      <xdr:row>6</xdr:row>
      <xdr:rowOff>85725</xdr:rowOff>
    </xdr:from>
    <xdr:to>
      <xdr:col>13</xdr:col>
      <xdr:colOff>581025</xdr:colOff>
      <xdr:row>8</xdr:row>
      <xdr:rowOff>104775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CxnSpPr/>
      </xdr:nvCxnSpPr>
      <xdr:spPr>
        <a:xfrm>
          <a:off x="419100" y="3324225"/>
          <a:ext cx="1990725" cy="3429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>
      <selection activeCell="D7" sqref="D7"/>
    </sheetView>
  </sheetViews>
  <sheetFormatPr defaultRowHeight="12.75" x14ac:dyDescent="0.2"/>
  <cols>
    <col min="1" max="1" width="11.7109375" bestFit="1" customWidth="1"/>
    <col min="2" max="4" width="8.28515625" bestFit="1" customWidth="1"/>
  </cols>
  <sheetData>
    <row r="1" spans="1:4" x14ac:dyDescent="0.2">
      <c r="A1" s="2" t="s">
        <v>12</v>
      </c>
    </row>
    <row r="3" spans="1:4" x14ac:dyDescent="0.2">
      <c r="A3" t="s">
        <v>0</v>
      </c>
      <c r="B3">
        <v>46</v>
      </c>
      <c r="C3">
        <v>19</v>
      </c>
      <c r="D3">
        <v>19</v>
      </c>
    </row>
    <row r="4" spans="1:4" x14ac:dyDescent="0.2">
      <c r="A4" t="s">
        <v>1</v>
      </c>
      <c r="B4">
        <v>52</v>
      </c>
      <c r="C4">
        <v>25</v>
      </c>
      <c r="D4">
        <v>25</v>
      </c>
    </row>
    <row r="5" spans="1:4" x14ac:dyDescent="0.2">
      <c r="A5" t="s">
        <v>2</v>
      </c>
      <c r="B5">
        <v>41</v>
      </c>
      <c r="C5">
        <v>18</v>
      </c>
      <c r="D5">
        <v>18</v>
      </c>
    </row>
    <row r="6" spans="1:4" x14ac:dyDescent="0.2">
      <c r="A6" t="s">
        <v>3</v>
      </c>
      <c r="B6">
        <v>0.04</v>
      </c>
      <c r="C6">
        <v>0.05</v>
      </c>
      <c r="D6">
        <v>0.05</v>
      </c>
    </row>
    <row r="7" spans="1:4" x14ac:dyDescent="0.2">
      <c r="A7" t="s">
        <v>4</v>
      </c>
      <c r="B7">
        <v>45</v>
      </c>
      <c r="C7">
        <v>15</v>
      </c>
      <c r="D7">
        <v>20</v>
      </c>
    </row>
    <row r="9" spans="1:4" x14ac:dyDescent="0.2">
      <c r="A9" s="2" t="s">
        <v>13</v>
      </c>
    </row>
    <row r="11" spans="1:4" x14ac:dyDescent="0.2">
      <c r="A11" t="s">
        <v>11</v>
      </c>
      <c r="B11" s="3">
        <f>B20*B3+B21</f>
        <v>4.1853146853146868</v>
      </c>
      <c r="C11" s="3">
        <f>C20*C3+C21</f>
        <v>4.7142857142857153</v>
      </c>
      <c r="D11" s="3">
        <f>D20*D3+D21</f>
        <v>1.3265306122448983</v>
      </c>
    </row>
    <row r="12" spans="1:4" x14ac:dyDescent="0.2">
      <c r="A12" t="s">
        <v>15</v>
      </c>
      <c r="B12" s="3">
        <f>B30*B3+B31</f>
        <v>1.4545454545454568</v>
      </c>
      <c r="C12" s="3">
        <f>C30*C3+C31</f>
        <v>0</v>
      </c>
      <c r="D12" s="3">
        <f>D30*D3+D31</f>
        <v>1.3741496598639458</v>
      </c>
    </row>
    <row r="14" spans="1:4" x14ac:dyDescent="0.2">
      <c r="A14" s="2" t="s">
        <v>14</v>
      </c>
    </row>
    <row r="15" spans="1:4" x14ac:dyDescent="0.2">
      <c r="A15" s="2"/>
    </row>
    <row r="16" spans="1:4" x14ac:dyDescent="0.2">
      <c r="A16" s="5" t="s">
        <v>18</v>
      </c>
    </row>
    <row r="17" spans="1:4" x14ac:dyDescent="0.2">
      <c r="A17" t="s">
        <v>5</v>
      </c>
      <c r="B17">
        <f t="shared" ref="B17:D18" si="0">MAX(B4-B$7,0)</f>
        <v>7</v>
      </c>
      <c r="C17">
        <f t="shared" si="0"/>
        <v>10</v>
      </c>
      <c r="D17">
        <f t="shared" si="0"/>
        <v>5</v>
      </c>
    </row>
    <row r="18" spans="1:4" x14ac:dyDescent="0.2">
      <c r="A18" t="s">
        <v>6</v>
      </c>
      <c r="B18">
        <f t="shared" si="0"/>
        <v>0</v>
      </c>
      <c r="C18">
        <f t="shared" si="0"/>
        <v>3</v>
      </c>
      <c r="D18">
        <f t="shared" si="0"/>
        <v>0</v>
      </c>
    </row>
    <row r="20" spans="1:4" x14ac:dyDescent="0.2">
      <c r="A20" s="1" t="s">
        <v>7</v>
      </c>
      <c r="B20" s="3">
        <f>(B17-B18)/(B$4-B$5)</f>
        <v>0.63636363636363635</v>
      </c>
      <c r="C20" s="3">
        <f>(C17-C18)/(C$4-C$5)</f>
        <v>1</v>
      </c>
      <c r="D20" s="3">
        <f>(D17-D18)/(D$4-D$5)</f>
        <v>0.7142857142857143</v>
      </c>
    </row>
    <row r="21" spans="1:4" x14ac:dyDescent="0.2">
      <c r="A21" t="s">
        <v>8</v>
      </c>
      <c r="B21" s="3">
        <f>(B18-B$5*B20)/(1+B$6)</f>
        <v>-25.087412587412587</v>
      </c>
      <c r="C21" s="3">
        <f>(C18-C$5*C20)/(1+C$6)</f>
        <v>-14.285714285714285</v>
      </c>
      <c r="D21" s="3">
        <f>(D18-D$5*D20)/(1+D$6)</f>
        <v>-12.244897959183673</v>
      </c>
    </row>
    <row r="23" spans="1:4" x14ac:dyDescent="0.2">
      <c r="A23" t="s">
        <v>9</v>
      </c>
      <c r="B23">
        <f t="shared" ref="B23:D24" si="1">B$20*B4+B$21*(1+B$6)</f>
        <v>7.0000000000000036</v>
      </c>
      <c r="C23">
        <f t="shared" si="1"/>
        <v>10</v>
      </c>
      <c r="D23">
        <f t="shared" si="1"/>
        <v>5</v>
      </c>
    </row>
    <row r="24" spans="1:4" x14ac:dyDescent="0.2">
      <c r="A24" t="s">
        <v>10</v>
      </c>
      <c r="B24">
        <f t="shared" si="1"/>
        <v>0</v>
      </c>
      <c r="C24">
        <f t="shared" si="1"/>
        <v>3</v>
      </c>
      <c r="D24">
        <f t="shared" si="1"/>
        <v>0</v>
      </c>
    </row>
    <row r="26" spans="1:4" x14ac:dyDescent="0.2">
      <c r="A26" s="5" t="s">
        <v>19</v>
      </c>
    </row>
    <row r="27" spans="1:4" x14ac:dyDescent="0.2">
      <c r="A27" t="s">
        <v>16</v>
      </c>
      <c r="B27">
        <f t="shared" ref="B27:D28" si="2">MAX(B$7-B4,0)</f>
        <v>0</v>
      </c>
      <c r="C27">
        <f t="shared" si="2"/>
        <v>0</v>
      </c>
      <c r="D27">
        <f t="shared" si="2"/>
        <v>0</v>
      </c>
    </row>
    <row r="28" spans="1:4" x14ac:dyDescent="0.2">
      <c r="A28" t="s">
        <v>17</v>
      </c>
      <c r="B28">
        <f t="shared" si="2"/>
        <v>4</v>
      </c>
      <c r="C28">
        <f t="shared" si="2"/>
        <v>0</v>
      </c>
      <c r="D28">
        <f t="shared" si="2"/>
        <v>2</v>
      </c>
    </row>
    <row r="30" spans="1:4" x14ac:dyDescent="0.2">
      <c r="A30" s="1" t="s">
        <v>7</v>
      </c>
      <c r="B30" s="3">
        <f>(B27-B28)/(B$4-B$5)</f>
        <v>-0.36363636363636365</v>
      </c>
      <c r="C30" s="3">
        <f>(C27-C28)/(C$4-C$5)</f>
        <v>0</v>
      </c>
      <c r="D30" s="3">
        <f>(D27-D28)/(D$4-D$5)</f>
        <v>-0.2857142857142857</v>
      </c>
    </row>
    <row r="31" spans="1:4" x14ac:dyDescent="0.2">
      <c r="A31" t="s">
        <v>8</v>
      </c>
      <c r="B31" s="3">
        <f>(B28-B$5*B30)/(1+B$6)</f>
        <v>18.181818181818183</v>
      </c>
      <c r="C31" s="3">
        <f>(C28-C$5*C30)/(1+C$6)</f>
        <v>0</v>
      </c>
      <c r="D31" s="3">
        <f>(D28-D$5*D30)/(1+D$6)</f>
        <v>6.8027210884353737</v>
      </c>
    </row>
    <row r="33" spans="1:4" x14ac:dyDescent="0.2">
      <c r="A33" t="s">
        <v>9</v>
      </c>
      <c r="B33">
        <f t="shared" ref="B33:D34" si="3">B$30*B4+B$31*(1+B$6)</f>
        <v>0</v>
      </c>
      <c r="C33">
        <f t="shared" si="3"/>
        <v>0</v>
      </c>
      <c r="D33">
        <f t="shared" si="3"/>
        <v>0</v>
      </c>
    </row>
    <row r="34" spans="1:4" x14ac:dyDescent="0.2">
      <c r="A34" t="s">
        <v>10</v>
      </c>
      <c r="B34">
        <f t="shared" si="3"/>
        <v>4</v>
      </c>
      <c r="C34">
        <f t="shared" si="3"/>
        <v>0</v>
      </c>
      <c r="D34">
        <f t="shared" si="3"/>
        <v>2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6"/>
  <sheetViews>
    <sheetView topLeftCell="A35" workbookViewId="0">
      <selection activeCell="A66" sqref="A66"/>
    </sheetView>
  </sheetViews>
  <sheetFormatPr defaultRowHeight="12.75" x14ac:dyDescent="0.2"/>
  <cols>
    <col min="1" max="1" width="10.7109375" bestFit="1" customWidth="1"/>
    <col min="2" max="2" width="7.5703125" bestFit="1" customWidth="1"/>
  </cols>
  <sheetData>
    <row r="1" spans="1:2" x14ac:dyDescent="0.2">
      <c r="A1" s="2" t="s">
        <v>44</v>
      </c>
    </row>
    <row r="3" spans="1:2" x14ac:dyDescent="0.2">
      <c r="B3" t="s">
        <v>23</v>
      </c>
    </row>
    <row r="4" spans="1:2" x14ac:dyDescent="0.2">
      <c r="A4" t="s">
        <v>20</v>
      </c>
      <c r="B4">
        <v>21</v>
      </c>
    </row>
    <row r="5" spans="1:2" x14ac:dyDescent="0.2">
      <c r="A5" t="s">
        <v>34</v>
      </c>
      <c r="B5">
        <v>3</v>
      </c>
    </row>
    <row r="6" spans="1:2" x14ac:dyDescent="0.2">
      <c r="A6" t="s">
        <v>35</v>
      </c>
      <c r="B6">
        <v>-2</v>
      </c>
    </row>
    <row r="7" spans="1:2" x14ac:dyDescent="0.2">
      <c r="A7" t="s">
        <v>4</v>
      </c>
      <c r="B7">
        <v>20</v>
      </c>
    </row>
    <row r="8" spans="1:2" x14ac:dyDescent="0.2">
      <c r="A8" t="s">
        <v>3</v>
      </c>
      <c r="B8">
        <v>0.03</v>
      </c>
    </row>
    <row r="10" spans="1:2" x14ac:dyDescent="0.2">
      <c r="A10" s="2" t="s">
        <v>45</v>
      </c>
    </row>
    <row r="12" spans="1:2" x14ac:dyDescent="0.2">
      <c r="B12" t="s">
        <v>24</v>
      </c>
    </row>
    <row r="13" spans="1:2" x14ac:dyDescent="0.2">
      <c r="A13" t="s">
        <v>1</v>
      </c>
      <c r="B13">
        <f>B$4+B5</f>
        <v>24</v>
      </c>
    </row>
    <row r="14" spans="1:2" x14ac:dyDescent="0.2">
      <c r="A14" t="s">
        <v>2</v>
      </c>
      <c r="B14">
        <f>B$4+B6</f>
        <v>19</v>
      </c>
    </row>
    <row r="16" spans="1:2" x14ac:dyDescent="0.2">
      <c r="B16" t="s">
        <v>25</v>
      </c>
    </row>
    <row r="17" spans="1:5" x14ac:dyDescent="0.2">
      <c r="A17" t="s">
        <v>26</v>
      </c>
      <c r="B17">
        <f>B$13+B5</f>
        <v>27</v>
      </c>
    </row>
    <row r="18" spans="1:5" x14ac:dyDescent="0.2">
      <c r="A18" t="s">
        <v>27</v>
      </c>
      <c r="B18">
        <f>B$13+B6</f>
        <v>22</v>
      </c>
    </row>
    <row r="19" spans="1:5" x14ac:dyDescent="0.2">
      <c r="A19" t="s">
        <v>28</v>
      </c>
      <c r="B19">
        <f>B$14+B5</f>
        <v>22</v>
      </c>
    </row>
    <row r="20" spans="1:5" x14ac:dyDescent="0.2">
      <c r="A20" t="s">
        <v>29</v>
      </c>
      <c r="B20">
        <f>B$14+B6</f>
        <v>17</v>
      </c>
    </row>
    <row r="22" spans="1:5" x14ac:dyDescent="0.2">
      <c r="A22" s="5" t="s">
        <v>18</v>
      </c>
    </row>
    <row r="24" spans="1:5" x14ac:dyDescent="0.2">
      <c r="A24" t="s">
        <v>30</v>
      </c>
      <c r="B24">
        <f>MAX(B17-B$7,0)</f>
        <v>7</v>
      </c>
    </row>
    <row r="25" spans="1:5" x14ac:dyDescent="0.2">
      <c r="A25" t="s">
        <v>31</v>
      </c>
      <c r="B25">
        <f>MAX(B18-B$7,0)</f>
        <v>2</v>
      </c>
    </row>
    <row r="26" spans="1:5" x14ac:dyDescent="0.2">
      <c r="A26" t="s">
        <v>32</v>
      </c>
      <c r="B26">
        <f>MAX(B19-B$7,0)</f>
        <v>2</v>
      </c>
    </row>
    <row r="27" spans="1:5" x14ac:dyDescent="0.2">
      <c r="A27" t="s">
        <v>33</v>
      </c>
      <c r="B27">
        <f>MAX(B20-B$7,0)</f>
        <v>0</v>
      </c>
    </row>
    <row r="29" spans="1:5" x14ac:dyDescent="0.2">
      <c r="A29" t="s">
        <v>37</v>
      </c>
    </row>
    <row r="30" spans="1:5" x14ac:dyDescent="0.2">
      <c r="A30" s="4" t="s">
        <v>36</v>
      </c>
    </row>
    <row r="31" spans="1:5" x14ac:dyDescent="0.2">
      <c r="A31" s="1" t="s">
        <v>7</v>
      </c>
      <c r="B31" s="6">
        <f>(B24-B25)/(B17-B18)</f>
        <v>1</v>
      </c>
      <c r="E31" t="s">
        <v>42</v>
      </c>
    </row>
    <row r="32" spans="1:5" x14ac:dyDescent="0.2">
      <c r="A32" t="s">
        <v>8</v>
      </c>
      <c r="B32" s="6">
        <f>(B25-B31*B18)/(1+B8)</f>
        <v>-19.417475728155338</v>
      </c>
      <c r="D32" t="s">
        <v>36</v>
      </c>
      <c r="E32">
        <f>B$31*B17+B$32*(1+B$8)</f>
        <v>7</v>
      </c>
    </row>
    <row r="33" spans="1:5" x14ac:dyDescent="0.2">
      <c r="A33" t="s">
        <v>11</v>
      </c>
      <c r="B33">
        <f>B31*B13+B32</f>
        <v>4.5825242718446617</v>
      </c>
      <c r="D33" t="s">
        <v>7</v>
      </c>
      <c r="E33">
        <f>B$31*B18+B$32*(1+B$8)</f>
        <v>2</v>
      </c>
    </row>
    <row r="35" spans="1:5" x14ac:dyDescent="0.2">
      <c r="A35" s="4" t="s">
        <v>7</v>
      </c>
    </row>
    <row r="36" spans="1:5" x14ac:dyDescent="0.2">
      <c r="A36" s="1" t="s">
        <v>7</v>
      </c>
      <c r="B36">
        <f>(B26-B27)/(B19-B20)</f>
        <v>0.4</v>
      </c>
    </row>
    <row r="37" spans="1:5" x14ac:dyDescent="0.2">
      <c r="A37" t="s">
        <v>8</v>
      </c>
      <c r="B37">
        <f>(B27-B36*B20)/(1+B8)</f>
        <v>-6.6019417475728162</v>
      </c>
    </row>
    <row r="38" spans="1:5" x14ac:dyDescent="0.2">
      <c r="A38" t="s">
        <v>11</v>
      </c>
      <c r="B38">
        <f>B36*B14+B37</f>
        <v>0.99805825242718438</v>
      </c>
    </row>
    <row r="40" spans="1:5" x14ac:dyDescent="0.2">
      <c r="A40" t="s">
        <v>43</v>
      </c>
    </row>
    <row r="41" spans="1:5" x14ac:dyDescent="0.2">
      <c r="A41" s="1" t="s">
        <v>7</v>
      </c>
      <c r="B41" s="3">
        <f>(B33-B38)/(B13-B14)</f>
        <v>0.71689320388349542</v>
      </c>
      <c r="E41" t="s">
        <v>42</v>
      </c>
    </row>
    <row r="42" spans="1:5" x14ac:dyDescent="0.2">
      <c r="A42" t="s">
        <v>8</v>
      </c>
      <c r="B42">
        <f>(B38-B41*B14)/(1+B8)</f>
        <v>-12.255254972193427</v>
      </c>
      <c r="D42" t="s">
        <v>36</v>
      </c>
      <c r="E42">
        <f>B$41*B13+B$42*(1+B$8)</f>
        <v>4.5825242718446582</v>
      </c>
    </row>
    <row r="43" spans="1:5" x14ac:dyDescent="0.2">
      <c r="A43" t="s">
        <v>11</v>
      </c>
      <c r="B43">
        <f>B41*B4+B42</f>
        <v>2.7995023093599762</v>
      </c>
      <c r="D43" t="s">
        <v>7</v>
      </c>
      <c r="E43">
        <f>B$41*B14+B$42*(1+B$8)</f>
        <v>0.99805825242718349</v>
      </c>
    </row>
    <row r="45" spans="1:5" x14ac:dyDescent="0.2">
      <c r="A45" s="5" t="s">
        <v>19</v>
      </c>
    </row>
    <row r="47" spans="1:5" x14ac:dyDescent="0.2">
      <c r="A47" t="s">
        <v>38</v>
      </c>
      <c r="B47">
        <f>MAX(B$7-B17,0)</f>
        <v>0</v>
      </c>
    </row>
    <row r="48" spans="1:5" x14ac:dyDescent="0.2">
      <c r="A48" t="s">
        <v>39</v>
      </c>
      <c r="B48">
        <f>MAX(B$7-B18,0)</f>
        <v>0</v>
      </c>
    </row>
    <row r="49" spans="1:7" x14ac:dyDescent="0.2">
      <c r="A49" t="s">
        <v>40</v>
      </c>
      <c r="B49">
        <f>MAX(B$7-B19,0)</f>
        <v>0</v>
      </c>
    </row>
    <row r="50" spans="1:7" x14ac:dyDescent="0.2">
      <c r="A50" t="s">
        <v>41</v>
      </c>
      <c r="B50">
        <f>MAX(B$7-B20,0)</f>
        <v>3</v>
      </c>
    </row>
    <row r="52" spans="1:7" x14ac:dyDescent="0.2">
      <c r="A52" t="s">
        <v>37</v>
      </c>
    </row>
    <row r="53" spans="1:7" x14ac:dyDescent="0.2">
      <c r="A53" s="4" t="s">
        <v>36</v>
      </c>
    </row>
    <row r="54" spans="1:7" x14ac:dyDescent="0.2">
      <c r="A54" s="1" t="s">
        <v>7</v>
      </c>
      <c r="B54" s="6">
        <f>(B47-B48)/(B17-B18)</f>
        <v>0</v>
      </c>
      <c r="E54" t="s">
        <v>42</v>
      </c>
    </row>
    <row r="55" spans="1:7" x14ac:dyDescent="0.2">
      <c r="A55" t="s">
        <v>8</v>
      </c>
      <c r="B55" s="6">
        <f>(B48-B54*B18)/(1+B8)</f>
        <v>0</v>
      </c>
      <c r="D55" t="s">
        <v>36</v>
      </c>
      <c r="E55">
        <f>B$54*B17+B$55*(1+B$8)</f>
        <v>0</v>
      </c>
    </row>
    <row r="56" spans="1:7" x14ac:dyDescent="0.2">
      <c r="A56" t="s">
        <v>15</v>
      </c>
      <c r="B56">
        <f>B54*B13+B55</f>
        <v>0</v>
      </c>
      <c r="D56" t="s">
        <v>7</v>
      </c>
      <c r="E56">
        <f>B$54*B18+B$55*(1+B$8)</f>
        <v>0</v>
      </c>
      <c r="G56">
        <f>B33-24+20/1.03</f>
        <v>0</v>
      </c>
    </row>
    <row r="58" spans="1:7" x14ac:dyDescent="0.2">
      <c r="A58" s="4" t="s">
        <v>7</v>
      </c>
    </row>
    <row r="59" spans="1:7" x14ac:dyDescent="0.2">
      <c r="A59" s="1" t="s">
        <v>7</v>
      </c>
      <c r="B59">
        <f>(B49-B50)/(B19-B20)</f>
        <v>-0.6</v>
      </c>
    </row>
    <row r="60" spans="1:7" x14ac:dyDescent="0.2">
      <c r="A60" t="s">
        <v>8</v>
      </c>
      <c r="B60">
        <f>(B50-B59*B20)/(1+B8)</f>
        <v>12.815533980582524</v>
      </c>
      <c r="D60" t="s">
        <v>36</v>
      </c>
      <c r="E60">
        <f>B$59*B19+B$60*(1+B$8)</f>
        <v>0</v>
      </c>
    </row>
    <row r="61" spans="1:7" x14ac:dyDescent="0.2">
      <c r="A61" t="s">
        <v>15</v>
      </c>
      <c r="B61">
        <f>B59*B14+B60</f>
        <v>1.4155339805825236</v>
      </c>
      <c r="D61" t="s">
        <v>7</v>
      </c>
      <c r="E61">
        <f>B$59*B20+B$60*(1+B$8)</f>
        <v>3</v>
      </c>
      <c r="G61">
        <f>B38-19+20/1.03</f>
        <v>1.4155339805825236</v>
      </c>
    </row>
    <row r="63" spans="1:7" x14ac:dyDescent="0.2">
      <c r="A63" t="s">
        <v>43</v>
      </c>
    </row>
    <row r="64" spans="1:7" x14ac:dyDescent="0.2">
      <c r="A64" s="1" t="s">
        <v>7</v>
      </c>
      <c r="B64" s="3">
        <f>(B56-B61)/(B13-B14)</f>
        <v>-0.28310679611650469</v>
      </c>
    </row>
    <row r="65" spans="1:7" x14ac:dyDescent="0.2">
      <c r="A65" t="s">
        <v>8</v>
      </c>
      <c r="B65">
        <f>(B61-B64*B14)/(1+B8)</f>
        <v>6.5966632104816627</v>
      </c>
      <c r="D65" t="s">
        <v>36</v>
      </c>
      <c r="E65">
        <f>B$64*B13+B$65*(1+B$8)</f>
        <v>0</v>
      </c>
    </row>
    <row r="66" spans="1:7" x14ac:dyDescent="0.2">
      <c r="A66" t="s">
        <v>15</v>
      </c>
      <c r="B66">
        <f>B64*B4+B65</f>
        <v>0.65142049203506414</v>
      </c>
      <c r="D66" t="s">
        <v>7</v>
      </c>
      <c r="E66">
        <f>B$64*B14+B$65*(1+B$8)</f>
        <v>1.4155339805825236</v>
      </c>
      <c r="G66">
        <f>B43-21+20/(1.03)^2</f>
        <v>0.65142049203506502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6"/>
  <sheetViews>
    <sheetView workbookViewId="0">
      <selection activeCell="B14" sqref="B14"/>
    </sheetView>
  </sheetViews>
  <sheetFormatPr defaultRowHeight="12.75" x14ac:dyDescent="0.2"/>
  <cols>
    <col min="1" max="1" width="10.7109375" bestFit="1" customWidth="1"/>
    <col min="2" max="2" width="10.28515625" bestFit="1" customWidth="1"/>
  </cols>
  <sheetData>
    <row r="1" spans="1:2" x14ac:dyDescent="0.2">
      <c r="A1" s="2" t="s">
        <v>44</v>
      </c>
    </row>
    <row r="3" spans="1:2" x14ac:dyDescent="0.2">
      <c r="B3" t="s">
        <v>23</v>
      </c>
    </row>
    <row r="4" spans="1:2" x14ac:dyDescent="0.2">
      <c r="A4" t="s">
        <v>20</v>
      </c>
      <c r="B4">
        <v>98</v>
      </c>
    </row>
    <row r="5" spans="1:2" x14ac:dyDescent="0.2">
      <c r="A5" t="s">
        <v>21</v>
      </c>
      <c r="B5">
        <v>0.1</v>
      </c>
    </row>
    <row r="6" spans="1:2" x14ac:dyDescent="0.2">
      <c r="A6" t="s">
        <v>22</v>
      </c>
      <c r="B6">
        <v>-0.05</v>
      </c>
    </row>
    <row r="7" spans="1:2" x14ac:dyDescent="0.2">
      <c r="A7" t="s">
        <v>4</v>
      </c>
      <c r="B7">
        <v>100</v>
      </c>
    </row>
    <row r="8" spans="1:2" x14ac:dyDescent="0.2">
      <c r="A8" t="s">
        <v>3</v>
      </c>
      <c r="B8">
        <v>0.06</v>
      </c>
    </row>
    <row r="10" spans="1:2" x14ac:dyDescent="0.2">
      <c r="A10" s="2" t="s">
        <v>45</v>
      </c>
    </row>
    <row r="12" spans="1:2" x14ac:dyDescent="0.2">
      <c r="B12" t="s">
        <v>24</v>
      </c>
    </row>
    <row r="13" spans="1:2" x14ac:dyDescent="0.2">
      <c r="A13" t="s">
        <v>1</v>
      </c>
      <c r="B13" s="8">
        <f>B$4*(1+B5)</f>
        <v>107.80000000000001</v>
      </c>
    </row>
    <row r="14" spans="1:2" x14ac:dyDescent="0.2">
      <c r="A14" t="s">
        <v>2</v>
      </c>
      <c r="B14" s="8">
        <f>B$4*(1+B6)</f>
        <v>93.1</v>
      </c>
    </row>
    <row r="15" spans="1:2" x14ac:dyDescent="0.2">
      <c r="B15" s="8"/>
    </row>
    <row r="16" spans="1:2" x14ac:dyDescent="0.2">
      <c r="B16" s="8" t="s">
        <v>25</v>
      </c>
    </row>
    <row r="17" spans="1:5" x14ac:dyDescent="0.2">
      <c r="A17" t="s">
        <v>26</v>
      </c>
      <c r="B17" s="8">
        <f>B$13*(1+B5)</f>
        <v>118.58000000000003</v>
      </c>
    </row>
    <row r="18" spans="1:5" x14ac:dyDescent="0.2">
      <c r="A18" t="s">
        <v>27</v>
      </c>
      <c r="B18" s="8">
        <f>B$13*(1+B6)</f>
        <v>102.41000000000001</v>
      </c>
    </row>
    <row r="19" spans="1:5" x14ac:dyDescent="0.2">
      <c r="A19" t="s">
        <v>28</v>
      </c>
      <c r="B19" s="8">
        <f>B$14*(1+B5)</f>
        <v>102.41</v>
      </c>
    </row>
    <row r="20" spans="1:5" x14ac:dyDescent="0.2">
      <c r="A20" t="s">
        <v>29</v>
      </c>
      <c r="B20" s="8">
        <f>B$14*(1+B6)</f>
        <v>88.444999999999993</v>
      </c>
    </row>
    <row r="21" spans="1:5" x14ac:dyDescent="0.2">
      <c r="B21" s="8"/>
    </row>
    <row r="22" spans="1:5" x14ac:dyDescent="0.2">
      <c r="A22" s="5" t="s">
        <v>18</v>
      </c>
      <c r="B22" s="8"/>
    </row>
    <row r="23" spans="1:5" x14ac:dyDescent="0.2">
      <c r="B23" s="8"/>
    </row>
    <row r="24" spans="1:5" x14ac:dyDescent="0.2">
      <c r="A24" t="s">
        <v>30</v>
      </c>
      <c r="B24" s="8">
        <f>MAX(B17-B$7,0)</f>
        <v>18.580000000000027</v>
      </c>
    </row>
    <row r="25" spans="1:5" x14ac:dyDescent="0.2">
      <c r="A25" t="s">
        <v>31</v>
      </c>
      <c r="B25" s="8">
        <f>MAX(B18-B$7,0)</f>
        <v>2.4100000000000108</v>
      </c>
    </row>
    <row r="26" spans="1:5" x14ac:dyDescent="0.2">
      <c r="A26" t="s">
        <v>32</v>
      </c>
      <c r="B26" s="8">
        <f>MAX(B19-B$7,0)</f>
        <v>2.4099999999999966</v>
      </c>
    </row>
    <row r="27" spans="1:5" x14ac:dyDescent="0.2">
      <c r="A27" t="s">
        <v>33</v>
      </c>
      <c r="B27" s="8">
        <f>MAX(B20-B$7,0)</f>
        <v>0</v>
      </c>
    </row>
    <row r="28" spans="1:5" x14ac:dyDescent="0.2">
      <c r="B28" s="8"/>
    </row>
    <row r="29" spans="1:5" x14ac:dyDescent="0.2">
      <c r="A29" t="s">
        <v>37</v>
      </c>
      <c r="B29" s="8"/>
    </row>
    <row r="30" spans="1:5" x14ac:dyDescent="0.2">
      <c r="A30" s="4" t="s">
        <v>36</v>
      </c>
      <c r="B30" s="8"/>
    </row>
    <row r="31" spans="1:5" x14ac:dyDescent="0.2">
      <c r="A31" s="1" t="s">
        <v>7</v>
      </c>
      <c r="B31" s="8">
        <f>(B24-B25)/(B17-B18)</f>
        <v>1</v>
      </c>
      <c r="E31" t="s">
        <v>42</v>
      </c>
    </row>
    <row r="32" spans="1:5" x14ac:dyDescent="0.2">
      <c r="A32" t="s">
        <v>8</v>
      </c>
      <c r="B32" s="8">
        <f>(B25-B31*B18)/(1+B8)</f>
        <v>-94.339622641509436</v>
      </c>
      <c r="D32" t="s">
        <v>36</v>
      </c>
      <c r="E32">
        <f>B$31*B17+B$32*(1+B$8)</f>
        <v>18.580000000000013</v>
      </c>
    </row>
    <row r="33" spans="1:5" x14ac:dyDescent="0.2">
      <c r="A33" t="s">
        <v>11</v>
      </c>
      <c r="B33" s="8">
        <f>B31*B13+B32</f>
        <v>13.460377358490575</v>
      </c>
      <c r="D33" t="s">
        <v>7</v>
      </c>
      <c r="E33">
        <f>B$31*B18+B$32*(1+B$8)</f>
        <v>2.4099999999999966</v>
      </c>
    </row>
    <row r="34" spans="1:5" x14ac:dyDescent="0.2">
      <c r="B34" s="8"/>
    </row>
    <row r="35" spans="1:5" x14ac:dyDescent="0.2">
      <c r="A35" s="4" t="s">
        <v>7</v>
      </c>
      <c r="B35" s="8"/>
    </row>
    <row r="36" spans="1:5" x14ac:dyDescent="0.2">
      <c r="A36" s="1" t="s">
        <v>7</v>
      </c>
      <c r="B36" s="8">
        <f>(B26-B27)/(B19-B20)</f>
        <v>0.17257429287504447</v>
      </c>
    </row>
    <row r="37" spans="1:5" x14ac:dyDescent="0.2">
      <c r="A37" t="s">
        <v>8</v>
      </c>
      <c r="B37" s="8">
        <f>(B27-B36*B20)/(1+B8)</f>
        <v>-14.399371069182365</v>
      </c>
    </row>
    <row r="38" spans="1:5" x14ac:dyDescent="0.2">
      <c r="A38" t="s">
        <v>11</v>
      </c>
      <c r="B38" s="8">
        <f>B36*B14+B37</f>
        <v>1.6672955974842729</v>
      </c>
    </row>
    <row r="39" spans="1:5" x14ac:dyDescent="0.2">
      <c r="B39" s="8"/>
    </row>
    <row r="40" spans="1:5" x14ac:dyDescent="0.2">
      <c r="A40" t="s">
        <v>43</v>
      </c>
      <c r="B40" s="8"/>
    </row>
    <row r="41" spans="1:5" x14ac:dyDescent="0.2">
      <c r="A41" s="1" t="s">
        <v>7</v>
      </c>
      <c r="B41" s="8">
        <f>(B33-B38)/(B13-B14)</f>
        <v>0.80225045993240063</v>
      </c>
      <c r="E41" t="s">
        <v>42</v>
      </c>
    </row>
    <row r="42" spans="1:5" x14ac:dyDescent="0.2">
      <c r="A42" t="s">
        <v>8</v>
      </c>
      <c r="B42" s="8">
        <f>(B38-B41*B14)/(1+B8)</f>
        <v>-68.888888888888886</v>
      </c>
      <c r="D42" t="s">
        <v>36</v>
      </c>
      <c r="E42">
        <f>B$41*B13+B$42*(1+B$8)</f>
        <v>13.460377358490575</v>
      </c>
    </row>
    <row r="43" spans="1:5" x14ac:dyDescent="0.2">
      <c r="A43" t="s">
        <v>11</v>
      </c>
      <c r="B43" s="8">
        <f>B41*B4+B42</f>
        <v>9.7316561844863827</v>
      </c>
      <c r="D43" t="s">
        <v>7</v>
      </c>
      <c r="E43">
        <f>B$41*B14+B$42*(1+B$8)</f>
        <v>1.6672955974842694</v>
      </c>
    </row>
    <row r="45" spans="1:5" x14ac:dyDescent="0.2">
      <c r="A45" s="5" t="s">
        <v>19</v>
      </c>
    </row>
    <row r="47" spans="1:5" x14ac:dyDescent="0.2">
      <c r="A47" t="s">
        <v>38</v>
      </c>
      <c r="B47">
        <f>MAX(B$7-B17,0)</f>
        <v>0</v>
      </c>
    </row>
    <row r="48" spans="1:5" x14ac:dyDescent="0.2">
      <c r="A48" t="s">
        <v>39</v>
      </c>
      <c r="B48">
        <f>MAX(B$7-B18,0)</f>
        <v>0</v>
      </c>
    </row>
    <row r="49" spans="1:5" x14ac:dyDescent="0.2">
      <c r="A49" t="s">
        <v>40</v>
      </c>
      <c r="B49">
        <f>MAX(B$7-B19,0)</f>
        <v>0</v>
      </c>
    </row>
    <row r="50" spans="1:5" x14ac:dyDescent="0.2">
      <c r="A50" t="s">
        <v>41</v>
      </c>
      <c r="B50">
        <f>MAX(B$7-B20,0)</f>
        <v>11.555000000000007</v>
      </c>
    </row>
    <row r="52" spans="1:5" x14ac:dyDescent="0.2">
      <c r="A52" t="s">
        <v>37</v>
      </c>
    </row>
    <row r="53" spans="1:5" x14ac:dyDescent="0.2">
      <c r="A53" s="4" t="s">
        <v>36</v>
      </c>
    </row>
    <row r="54" spans="1:5" x14ac:dyDescent="0.2">
      <c r="A54" s="1" t="s">
        <v>7</v>
      </c>
      <c r="B54" s="6">
        <f>(B47-B48)/(B17-B18)</f>
        <v>0</v>
      </c>
      <c r="E54" t="s">
        <v>42</v>
      </c>
    </row>
    <row r="55" spans="1:5" x14ac:dyDescent="0.2">
      <c r="A55" t="s">
        <v>8</v>
      </c>
      <c r="B55" s="6">
        <f>(B48-B54*B18)/(1+B8)</f>
        <v>0</v>
      </c>
      <c r="D55" t="s">
        <v>36</v>
      </c>
      <c r="E55">
        <f>B$54*B17+B$55*(1+B$8)</f>
        <v>0</v>
      </c>
    </row>
    <row r="56" spans="1:5" x14ac:dyDescent="0.2">
      <c r="A56" t="s">
        <v>15</v>
      </c>
      <c r="B56">
        <f>B54*B13+B55</f>
        <v>0</v>
      </c>
      <c r="D56" t="s">
        <v>7</v>
      </c>
      <c r="E56">
        <f>B$54*B18+B$55*(1+B$8)</f>
        <v>0</v>
      </c>
    </row>
    <row r="58" spans="1:5" x14ac:dyDescent="0.2">
      <c r="A58" s="4" t="s">
        <v>7</v>
      </c>
    </row>
    <row r="59" spans="1:5" x14ac:dyDescent="0.2">
      <c r="A59" s="1" t="s">
        <v>7</v>
      </c>
      <c r="B59">
        <f>(B49-B50)/(B19-B20)</f>
        <v>-0.82742570712495556</v>
      </c>
    </row>
    <row r="60" spans="1:5" x14ac:dyDescent="0.2">
      <c r="A60" t="s">
        <v>8</v>
      </c>
      <c r="B60">
        <f>(B50-B59*B20)/(1+B8)</f>
        <v>79.940251572327071</v>
      </c>
      <c r="D60" t="s">
        <v>36</v>
      </c>
      <c r="E60">
        <f>B$59*B19+B$60*(1+B$8)</f>
        <v>0</v>
      </c>
    </row>
    <row r="61" spans="1:5" x14ac:dyDescent="0.2">
      <c r="A61" t="s">
        <v>15</v>
      </c>
      <c r="B61">
        <f>B59*B14+B60</f>
        <v>2.9069182389937112</v>
      </c>
      <c r="D61" t="s">
        <v>7</v>
      </c>
      <c r="E61">
        <f>B$59*B20+B$60*(1+B$8)</f>
        <v>11.555000000000007</v>
      </c>
    </row>
    <row r="63" spans="1:5" x14ac:dyDescent="0.2">
      <c r="A63" t="s">
        <v>43</v>
      </c>
    </row>
    <row r="64" spans="1:5" x14ac:dyDescent="0.2">
      <c r="A64" s="1" t="s">
        <v>7</v>
      </c>
      <c r="B64" s="3">
        <f>(B56-B61)/(B13-B14)</f>
        <v>-0.19774954006759918</v>
      </c>
    </row>
    <row r="65" spans="1:5" x14ac:dyDescent="0.2">
      <c r="A65" t="s">
        <v>8</v>
      </c>
      <c r="B65">
        <f>(B61-B64*B14)/(1+B8)</f>
        <v>20.110755112535088</v>
      </c>
      <c r="D65" t="s">
        <v>36</v>
      </c>
      <c r="E65">
        <f>B$64*B13+B$65*(1+B$8)</f>
        <v>0</v>
      </c>
    </row>
    <row r="66" spans="1:5" x14ac:dyDescent="0.2">
      <c r="A66" t="s">
        <v>15</v>
      </c>
      <c r="B66">
        <f>B64*B4+B65</f>
        <v>0.73130018591036716</v>
      </c>
      <c r="D66" t="s">
        <v>7</v>
      </c>
      <c r="E66">
        <f>B$64*B14+B$65*(1+B$8)</f>
        <v>2.9069182389937147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"/>
  <sheetViews>
    <sheetView workbookViewId="0">
      <selection activeCell="E11" sqref="E11"/>
    </sheetView>
  </sheetViews>
  <sheetFormatPr defaultRowHeight="12.75" x14ac:dyDescent="0.2"/>
  <cols>
    <col min="2" max="2" width="8.5703125" bestFit="1" customWidth="1"/>
  </cols>
  <sheetData>
    <row r="1" spans="1:4" x14ac:dyDescent="0.2">
      <c r="A1" s="2" t="s">
        <v>60</v>
      </c>
    </row>
    <row r="2" spans="1:4" x14ac:dyDescent="0.2">
      <c r="A2" t="s">
        <v>47</v>
      </c>
      <c r="B2">
        <v>24</v>
      </c>
    </row>
    <row r="3" spans="1:4" x14ac:dyDescent="0.2">
      <c r="A3" t="s">
        <v>4</v>
      </c>
      <c r="B3">
        <v>25</v>
      </c>
    </row>
    <row r="4" spans="1:4" x14ac:dyDescent="0.2">
      <c r="A4" s="1" t="s">
        <v>49</v>
      </c>
      <c r="B4" s="8">
        <v>0.33</v>
      </c>
    </row>
    <row r="5" spans="1:4" x14ac:dyDescent="0.2">
      <c r="A5" t="s">
        <v>50</v>
      </c>
      <c r="B5" s="8">
        <f>155/365</f>
        <v>0.42465753424657532</v>
      </c>
    </row>
    <row r="6" spans="1:4" x14ac:dyDescent="0.2">
      <c r="A6" t="s">
        <v>3</v>
      </c>
      <c r="B6">
        <v>2.1999999999999999E-2</v>
      </c>
    </row>
    <row r="8" spans="1:4" x14ac:dyDescent="0.2">
      <c r="A8" s="2"/>
      <c r="B8" s="12" t="s">
        <v>59</v>
      </c>
      <c r="C8" s="13" t="s">
        <v>7</v>
      </c>
      <c r="D8" s="12" t="s">
        <v>8</v>
      </c>
    </row>
    <row r="9" spans="1:4" x14ac:dyDescent="0.2">
      <c r="A9" s="2"/>
    </row>
    <row r="10" spans="1:4" x14ac:dyDescent="0.2">
      <c r="A10" t="s">
        <v>18</v>
      </c>
      <c r="B10" s="8">
        <f>B2*B20-B15*B21</f>
        <v>1.7253679777923008</v>
      </c>
      <c r="C10" s="8">
        <f>B20</f>
        <v>0.48431287973572568</v>
      </c>
      <c r="D10">
        <f>-B15*B21</f>
        <v>-9.8981411358651155</v>
      </c>
    </row>
    <row r="11" spans="1:4" x14ac:dyDescent="0.2">
      <c r="A11" t="s">
        <v>19</v>
      </c>
      <c r="B11" s="8">
        <f>B15*(1-B21)-B2*(1-B20)</f>
        <v>2.4954026539704213</v>
      </c>
      <c r="C11" s="8">
        <f>-(1-B20)</f>
        <v>-0.51568712026427432</v>
      </c>
      <c r="D11">
        <f>B15*(1-B21)</f>
        <v>14.871893540313005</v>
      </c>
    </row>
    <row r="12" spans="1:4" x14ac:dyDescent="0.2">
      <c r="A12" s="2"/>
    </row>
    <row r="13" spans="1:4" x14ac:dyDescent="0.2">
      <c r="A13" s="2" t="s">
        <v>61</v>
      </c>
    </row>
    <row r="15" spans="1:4" x14ac:dyDescent="0.2">
      <c r="A15" t="s">
        <v>48</v>
      </c>
      <c r="B15" s="8">
        <f>B3/(1+B6)^B5</f>
        <v>24.77003467617812</v>
      </c>
    </row>
    <row r="16" spans="1:4" x14ac:dyDescent="0.2">
      <c r="B16" s="8"/>
    </row>
    <row r="17" spans="1:2" x14ac:dyDescent="0.2">
      <c r="A17" t="s">
        <v>51</v>
      </c>
      <c r="B17" s="8">
        <f>LN(B2/B15)/(B4*B5^0.5)+B4*B5^0.5/2</f>
        <v>-3.9331917927147075E-2</v>
      </c>
    </row>
    <row r="18" spans="1:2" x14ac:dyDescent="0.2">
      <c r="A18" t="s">
        <v>52</v>
      </c>
      <c r="B18" s="8">
        <f>B17-B4*B5^0.5</f>
        <v>-0.25437890228045545</v>
      </c>
    </row>
    <row r="19" spans="1:2" x14ac:dyDescent="0.2">
      <c r="B19" s="8"/>
    </row>
    <row r="20" spans="1:2" x14ac:dyDescent="0.2">
      <c r="A20" t="s">
        <v>58</v>
      </c>
      <c r="B20" s="8">
        <f>NORMSDIST(B17)</f>
        <v>0.48431287973572568</v>
      </c>
    </row>
    <row r="21" spans="1:2" x14ac:dyDescent="0.2">
      <c r="A21" t="s">
        <v>55</v>
      </c>
      <c r="B21" s="8">
        <f>NORMSDIST(B18)</f>
        <v>0.39960142427189949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3"/>
  <sheetViews>
    <sheetView workbookViewId="0">
      <pane ySplit="510" activePane="bottomLeft"/>
      <selection activeCell="A2" sqref="A2"/>
      <selection pane="bottomLeft" activeCell="A3" sqref="A3:A13"/>
    </sheetView>
  </sheetViews>
  <sheetFormatPr defaultRowHeight="12.75" x14ac:dyDescent="0.2"/>
  <cols>
    <col min="8" max="8" width="12.28515625" bestFit="1" customWidth="1"/>
    <col min="10" max="10" width="12.28515625" bestFit="1" customWidth="1"/>
    <col min="12" max="13" width="12.28515625" bestFit="1" customWidth="1"/>
  </cols>
  <sheetData>
    <row r="1" spans="1:13" x14ac:dyDescent="0.2">
      <c r="A1" s="1" t="s">
        <v>46</v>
      </c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s="7" t="s">
        <v>53</v>
      </c>
      <c r="I1" s="1" t="s">
        <v>54</v>
      </c>
      <c r="J1" s="7" t="s">
        <v>55</v>
      </c>
      <c r="K1" t="s">
        <v>8</v>
      </c>
      <c r="L1" t="s">
        <v>56</v>
      </c>
      <c r="M1" s="1" t="s">
        <v>57</v>
      </c>
    </row>
    <row r="2" spans="1:13" x14ac:dyDescent="0.2">
      <c r="A2">
        <v>1.1000000000000001</v>
      </c>
      <c r="B2">
        <f>B3-1</f>
        <v>10</v>
      </c>
      <c r="C2">
        <f t="shared" ref="C2:E6" si="0">C3</f>
        <v>14.903602475150864</v>
      </c>
      <c r="D2">
        <f t="shared" si="0"/>
        <v>0.3</v>
      </c>
      <c r="E2">
        <f t="shared" si="0"/>
        <v>0.16438356164383561</v>
      </c>
      <c r="F2">
        <f>LN(B2/C2)/(D2*(E2^0.5))+(D2*E2^0.5)/2</f>
        <v>-3.2196976372636801</v>
      </c>
      <c r="G2">
        <f>F2-D2*E2^0.5</f>
        <v>-3.3413303653755877</v>
      </c>
      <c r="H2">
        <f>NORMSDIST(F2)</f>
        <v>6.4162934738385107E-4</v>
      </c>
      <c r="I2">
        <f>H2*B2</f>
        <v>6.416293473838511E-3</v>
      </c>
      <c r="J2">
        <f>NORMSDIST(G2)</f>
        <v>4.1688974422341048E-4</v>
      </c>
      <c r="K2">
        <f>-C2*J2</f>
        <v>-6.2131590238730305E-3</v>
      </c>
      <c r="L2">
        <f>I2/(I2+K2)</f>
        <v>31.586436839880484</v>
      </c>
      <c r="M2">
        <f>L2*A2</f>
        <v>34.745080523868538</v>
      </c>
    </row>
    <row r="3" spans="1:13" x14ac:dyDescent="0.2">
      <c r="A3">
        <v>1.1000000000000001</v>
      </c>
      <c r="B3">
        <f>B4-1</f>
        <v>11</v>
      </c>
      <c r="C3">
        <f t="shared" si="0"/>
        <v>14.903602475150864</v>
      </c>
      <c r="D3">
        <f t="shared" si="0"/>
        <v>0.3</v>
      </c>
      <c r="E3">
        <f t="shared" si="0"/>
        <v>0.16438356164383561</v>
      </c>
      <c r="F3">
        <f>LN(B3/C3)/(D3*(E3^0.5))+(D3*E3^0.5)/2</f>
        <v>-2.4361077163286233</v>
      </c>
      <c r="G3">
        <f>F3-D3*E3^0.5</f>
        <v>-2.5577404444405309</v>
      </c>
      <c r="H3">
        <f>NORMSDIST(F3)</f>
        <v>7.4231313993432559E-3</v>
      </c>
      <c r="I3">
        <f>H3*B3</f>
        <v>8.1654445392775818E-2</v>
      </c>
      <c r="J3">
        <f>NORMSDIST(G3)</f>
        <v>5.2677347812636593E-3</v>
      </c>
      <c r="K3">
        <f>-C3*J3</f>
        <v>-7.8508225124479372E-2</v>
      </c>
      <c r="L3">
        <f>I3/(I3+K3)</f>
        <v>25.953187771239069</v>
      </c>
      <c r="M3">
        <f>L3*A3</f>
        <v>28.54850654836298</v>
      </c>
    </row>
    <row r="4" spans="1:13" x14ac:dyDescent="0.2">
      <c r="A4">
        <v>1.1000000000000001</v>
      </c>
      <c r="B4">
        <f>B5-1</f>
        <v>12</v>
      </c>
      <c r="C4">
        <f t="shared" si="0"/>
        <v>14.903602475150864</v>
      </c>
      <c r="D4">
        <f t="shared" si="0"/>
        <v>0.3</v>
      </c>
      <c r="E4">
        <f t="shared" si="0"/>
        <v>0.16438356164383561</v>
      </c>
      <c r="F4">
        <f t="shared" ref="F4:F13" si="1">LN(B4/C4)/(D4*(E4^0.5))+(D4*E4^0.5)/2</f>
        <v>-1.720746165697485</v>
      </c>
      <c r="G4">
        <f t="shared" ref="G4:G13" si="2">F4-D4*E4^0.5</f>
        <v>-1.8423788938093923</v>
      </c>
      <c r="H4">
        <f t="shared" ref="H4:H13" si="3">NORMSDIST(F4)</f>
        <v>4.2648447551090166E-2</v>
      </c>
      <c r="I4">
        <f t="shared" ref="I4:I13" si="4">H4*B4</f>
        <v>0.51178137061308204</v>
      </c>
      <c r="J4">
        <f t="shared" ref="J4:J13" si="5">NORMSDIST(G4)</f>
        <v>3.2709873439880924E-2</v>
      </c>
      <c r="K4">
        <f t="shared" ref="K4:K13" si="6">-C4*J4</f>
        <v>-0.48749495076048083</v>
      </c>
      <c r="L4">
        <f t="shared" ref="L4:L13" si="7">I4/(I4+K4)</f>
        <v>21.072738333569873</v>
      </c>
      <c r="M4">
        <f t="shared" ref="M4:M13" si="8">L4*A4</f>
        <v>23.180012166926861</v>
      </c>
    </row>
    <row r="5" spans="1:13" x14ac:dyDescent="0.2">
      <c r="A5">
        <v>1.1000000000000001</v>
      </c>
      <c r="B5">
        <f>B6-1</f>
        <v>13</v>
      </c>
      <c r="C5">
        <f t="shared" si="0"/>
        <v>14.903602475150864</v>
      </c>
      <c r="D5">
        <f t="shared" si="0"/>
        <v>0.3</v>
      </c>
      <c r="E5">
        <f t="shared" si="0"/>
        <v>0.16438356164383561</v>
      </c>
      <c r="F5">
        <f t="shared" si="1"/>
        <v>-1.0626773308038566</v>
      </c>
      <c r="G5">
        <f t="shared" si="2"/>
        <v>-1.184310058915764</v>
      </c>
      <c r="H5">
        <f t="shared" si="3"/>
        <v>0.14396415229740966</v>
      </c>
      <c r="I5">
        <f t="shared" si="4"/>
        <v>1.8715339798663257</v>
      </c>
      <c r="J5">
        <f t="shared" si="5"/>
        <v>0.11814517422702915</v>
      </c>
      <c r="K5">
        <f t="shared" si="6"/>
        <v>-1.7607887110370817</v>
      </c>
      <c r="L5">
        <f t="shared" si="7"/>
        <v>16.899448614387371</v>
      </c>
      <c r="M5">
        <f t="shared" si="8"/>
        <v>18.58939347582611</v>
      </c>
    </row>
    <row r="6" spans="1:13" x14ac:dyDescent="0.2">
      <c r="A6">
        <v>1.1000000000000001</v>
      </c>
      <c r="B6">
        <f>B7-1</f>
        <v>14</v>
      </c>
      <c r="C6">
        <f>C7</f>
        <v>14.903602475150864</v>
      </c>
      <c r="D6">
        <f t="shared" si="0"/>
        <v>0.3</v>
      </c>
      <c r="E6">
        <f t="shared" si="0"/>
        <v>0.16438356164383561</v>
      </c>
      <c r="F6">
        <f t="shared" si="1"/>
        <v>-0.45340075447368294</v>
      </c>
      <c r="G6">
        <f t="shared" si="2"/>
        <v>-0.57503348258559039</v>
      </c>
      <c r="H6">
        <f t="shared" si="3"/>
        <v>0.32513009663646475</v>
      </c>
      <c r="I6">
        <f t="shared" si="4"/>
        <v>4.5518213529105065</v>
      </c>
      <c r="J6">
        <f t="shared" si="5"/>
        <v>0.28263432630387225</v>
      </c>
      <c r="K6">
        <f t="shared" si="6"/>
        <v>-4.2122696450649872</v>
      </c>
      <c r="L6">
        <f t="shared" si="7"/>
        <v>13.40538494649946</v>
      </c>
      <c r="M6">
        <f t="shared" si="8"/>
        <v>14.745923441149406</v>
      </c>
    </row>
    <row r="7" spans="1:13" x14ac:dyDescent="0.2">
      <c r="A7">
        <v>1.1000000000000001</v>
      </c>
      <c r="B7" s="2">
        <v>15</v>
      </c>
      <c r="C7" s="2">
        <f>15/(1.04)^E7</f>
        <v>14.903602475150864</v>
      </c>
      <c r="D7" s="2">
        <v>0.3</v>
      </c>
      <c r="E7" s="2">
        <f>60/365</f>
        <v>0.16438356164383561</v>
      </c>
      <c r="F7">
        <f t="shared" si="1"/>
        <v>0.11382216782626706</v>
      </c>
      <c r="G7">
        <f t="shared" si="2"/>
        <v>-7.8105602856404083E-3</v>
      </c>
      <c r="H7">
        <f t="shared" si="3"/>
        <v>0.54531061729527885</v>
      </c>
      <c r="I7">
        <f t="shared" si="4"/>
        <v>8.179659259429183</v>
      </c>
      <c r="J7">
        <f t="shared" si="5"/>
        <v>0.49688406894961806</v>
      </c>
      <c r="K7">
        <f t="shared" si="6"/>
        <v>-7.4053626398605603</v>
      </c>
      <c r="L7">
        <f t="shared" si="7"/>
        <v>10.563986788404483</v>
      </c>
      <c r="M7">
        <f t="shared" si="8"/>
        <v>11.620385467244931</v>
      </c>
    </row>
    <row r="8" spans="1:13" x14ac:dyDescent="0.2">
      <c r="A8">
        <v>1.1000000000000001</v>
      </c>
      <c r="B8">
        <f t="shared" ref="B8:B13" si="9">B7+1</f>
        <v>16</v>
      </c>
      <c r="C8">
        <f t="shared" ref="C8:E13" si="10">C7</f>
        <v>14.903602475150864</v>
      </c>
      <c r="D8">
        <f t="shared" si="10"/>
        <v>0.3</v>
      </c>
      <c r="E8">
        <f t="shared" si="10"/>
        <v>0.16438356164383561</v>
      </c>
      <c r="F8">
        <f t="shared" si="1"/>
        <v>0.64442377595753408</v>
      </c>
      <c r="G8">
        <f t="shared" si="2"/>
        <v>0.52279104784562658</v>
      </c>
      <c r="H8">
        <f t="shared" si="3"/>
        <v>0.74034966452671713</v>
      </c>
      <c r="I8">
        <f t="shared" si="4"/>
        <v>11.845594632427474</v>
      </c>
      <c r="J8">
        <f t="shared" si="5"/>
        <v>0.69944016497784856</v>
      </c>
      <c r="K8">
        <f t="shared" si="6"/>
        <v>-10.424178173983792</v>
      </c>
      <c r="L8">
        <f t="shared" si="7"/>
        <v>8.3336551804087673</v>
      </c>
      <c r="M8">
        <f t="shared" si="8"/>
        <v>9.1670206984496456</v>
      </c>
    </row>
    <row r="9" spans="1:13" x14ac:dyDescent="0.2">
      <c r="A9">
        <v>1.1000000000000001</v>
      </c>
      <c r="B9">
        <f t="shared" si="9"/>
        <v>17</v>
      </c>
      <c r="C9">
        <f t="shared" si="10"/>
        <v>14.903602475150864</v>
      </c>
      <c r="D9">
        <f t="shared" si="10"/>
        <v>0.3</v>
      </c>
      <c r="E9">
        <f t="shared" si="10"/>
        <v>0.16438356164383561</v>
      </c>
      <c r="F9">
        <f t="shared" si="1"/>
        <v>1.1428473726120252</v>
      </c>
      <c r="G9">
        <f t="shared" si="2"/>
        <v>1.0212146445001178</v>
      </c>
      <c r="H9">
        <f t="shared" si="3"/>
        <v>0.87344901692344012</v>
      </c>
      <c r="I9">
        <f t="shared" si="4"/>
        <v>14.848633287698481</v>
      </c>
      <c r="J9">
        <f t="shared" si="5"/>
        <v>0.84642362222529111</v>
      </c>
      <c r="K9">
        <f t="shared" si="6"/>
        <v>-12.614761191223009</v>
      </c>
      <c r="L9">
        <f t="shared" si="7"/>
        <v>6.6470382575287763</v>
      </c>
      <c r="M9">
        <f t="shared" si="8"/>
        <v>7.3117420832816542</v>
      </c>
    </row>
    <row r="10" spans="1:13" x14ac:dyDescent="0.2">
      <c r="A10">
        <v>1.1000000000000001</v>
      </c>
      <c r="B10">
        <f t="shared" si="9"/>
        <v>18</v>
      </c>
      <c r="C10">
        <f t="shared" si="10"/>
        <v>14.903602475150864</v>
      </c>
      <c r="D10">
        <f t="shared" si="10"/>
        <v>0.3</v>
      </c>
      <c r="E10">
        <f t="shared" si="10"/>
        <v>0.16438356164383561</v>
      </c>
      <c r="F10">
        <f t="shared" si="1"/>
        <v>1.612773639392463</v>
      </c>
      <c r="G10">
        <f t="shared" si="2"/>
        <v>1.4911409112805556</v>
      </c>
      <c r="H10">
        <f t="shared" si="3"/>
        <v>0.94660315244129378</v>
      </c>
      <c r="I10">
        <f t="shared" si="4"/>
        <v>17.038856743943288</v>
      </c>
      <c r="J10">
        <f t="shared" si="5"/>
        <v>0.93203774839608811</v>
      </c>
      <c r="K10">
        <f t="shared" si="6"/>
        <v>-13.890720093929977</v>
      </c>
      <c r="L10">
        <f t="shared" si="7"/>
        <v>5.4123624982642484</v>
      </c>
      <c r="M10">
        <f t="shared" si="8"/>
        <v>5.9535987480906734</v>
      </c>
    </row>
    <row r="11" spans="1:13" x14ac:dyDescent="0.2">
      <c r="A11">
        <v>1.1000000000000001</v>
      </c>
      <c r="B11">
        <f t="shared" si="9"/>
        <v>19</v>
      </c>
      <c r="C11">
        <f t="shared" si="10"/>
        <v>14.903602475150864</v>
      </c>
      <c r="D11">
        <f t="shared" si="10"/>
        <v>0.3</v>
      </c>
      <c r="E11">
        <f t="shared" si="10"/>
        <v>0.16438356164383561</v>
      </c>
      <c r="F11">
        <f t="shared" si="1"/>
        <v>2.0572857547544685</v>
      </c>
      <c r="G11">
        <f t="shared" si="2"/>
        <v>1.9356530266425611</v>
      </c>
      <c r="H11">
        <f t="shared" si="3"/>
        <v>0.98017062659485643</v>
      </c>
      <c r="I11">
        <f t="shared" si="4"/>
        <v>18.623241905302272</v>
      </c>
      <c r="J11">
        <f t="shared" si="5"/>
        <v>0.9735448944061752</v>
      </c>
      <c r="K11">
        <f t="shared" si="6"/>
        <v>-14.50932609794236</v>
      </c>
      <c r="L11">
        <f t="shared" si="7"/>
        <v>4.5268894108101971</v>
      </c>
      <c r="M11">
        <f t="shared" si="8"/>
        <v>4.9795783518912176</v>
      </c>
    </row>
    <row r="12" spans="1:13" x14ac:dyDescent="0.2">
      <c r="A12">
        <v>1.1000000000000001</v>
      </c>
      <c r="B12">
        <f t="shared" si="9"/>
        <v>20</v>
      </c>
      <c r="C12">
        <f t="shared" si="10"/>
        <v>14.903602475150864</v>
      </c>
      <c r="D12">
        <f t="shared" si="10"/>
        <v>0.3</v>
      </c>
      <c r="E12">
        <f t="shared" si="10"/>
        <v>0.16438356164383561</v>
      </c>
      <c r="F12">
        <f t="shared" si="1"/>
        <v>2.4789921094812861</v>
      </c>
      <c r="G12">
        <f t="shared" si="2"/>
        <v>2.3573593813693785</v>
      </c>
      <c r="H12">
        <f t="shared" si="3"/>
        <v>0.99341228896128708</v>
      </c>
      <c r="I12">
        <f t="shared" si="4"/>
        <v>19.868245779225742</v>
      </c>
      <c r="J12">
        <f t="shared" si="5"/>
        <v>0.99079728766943231</v>
      </c>
      <c r="K12">
        <f t="shared" si="6"/>
        <v>-14.766448908882914</v>
      </c>
      <c r="L12">
        <f t="shared" si="7"/>
        <v>3.8943623754841199</v>
      </c>
      <c r="M12">
        <f t="shared" si="8"/>
        <v>4.2837986130325323</v>
      </c>
    </row>
    <row r="13" spans="1:13" x14ac:dyDescent="0.2">
      <c r="A13">
        <v>1.1000000000000001</v>
      </c>
      <c r="B13">
        <f t="shared" si="9"/>
        <v>21</v>
      </c>
      <c r="C13">
        <f t="shared" si="10"/>
        <v>14.903602475150864</v>
      </c>
      <c r="D13">
        <f t="shared" si="10"/>
        <v>0.3</v>
      </c>
      <c r="E13">
        <f t="shared" si="10"/>
        <v>0.16438356164383561</v>
      </c>
      <c r="F13">
        <f t="shared" si="1"/>
        <v>2.8801190506162646</v>
      </c>
      <c r="G13">
        <f t="shared" si="2"/>
        <v>2.758486322504357</v>
      </c>
      <c r="H13">
        <f t="shared" si="3"/>
        <v>0.99801237483606753</v>
      </c>
      <c r="I13">
        <f t="shared" si="4"/>
        <v>20.958259871557416</v>
      </c>
      <c r="J13">
        <f t="shared" si="5"/>
        <v>0.99709651323951753</v>
      </c>
      <c r="K13">
        <f t="shared" si="6"/>
        <v>-14.86033006268077</v>
      </c>
      <c r="L13">
        <f t="shared" si="7"/>
        <v>3.4369467226482104</v>
      </c>
      <c r="M13">
        <f t="shared" si="8"/>
        <v>3.7806413949130317</v>
      </c>
    </row>
  </sheetData>
  <phoneticPr fontId="3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6"/>
  <sheetViews>
    <sheetView showGridLines="0" zoomScaleNormal="100" workbookViewId="0">
      <selection activeCell="K1" sqref="K1:Q13"/>
    </sheetView>
  </sheetViews>
  <sheetFormatPr defaultRowHeight="12.75" x14ac:dyDescent="0.2"/>
  <cols>
    <col min="1" max="16384" width="9.140625" style="14"/>
  </cols>
  <sheetData>
    <row r="1" spans="1:16" x14ac:dyDescent="0.2">
      <c r="A1" s="7"/>
      <c r="B1" s="7"/>
      <c r="C1" s="7"/>
      <c r="E1" s="7"/>
      <c r="F1" s="7"/>
      <c r="G1" s="7"/>
      <c r="K1" s="7"/>
      <c r="L1" s="7"/>
      <c r="M1" s="7"/>
      <c r="O1" s="7"/>
      <c r="P1" s="7"/>
    </row>
    <row r="2" spans="1:16" x14ac:dyDescent="0.2">
      <c r="A2" s="15" t="s">
        <v>23</v>
      </c>
      <c r="B2" s="7"/>
      <c r="C2" s="7"/>
      <c r="E2" s="15" t="s">
        <v>24</v>
      </c>
      <c r="F2" s="7"/>
      <c r="G2" s="7"/>
      <c r="K2" s="15" t="s">
        <v>23</v>
      </c>
      <c r="L2" s="7"/>
      <c r="M2" s="7"/>
      <c r="O2" s="15" t="s">
        <v>24</v>
      </c>
      <c r="P2" s="7"/>
    </row>
    <row r="3" spans="1:16" x14ac:dyDescent="0.2">
      <c r="A3" s="15"/>
      <c r="B3" s="7"/>
      <c r="C3" s="7"/>
      <c r="E3" s="7"/>
      <c r="F3" s="7"/>
      <c r="G3" s="7"/>
      <c r="K3" s="15"/>
      <c r="L3" s="7"/>
      <c r="M3" s="7"/>
      <c r="O3" s="7"/>
      <c r="P3" s="7"/>
    </row>
    <row r="4" spans="1:16" x14ac:dyDescent="0.2">
      <c r="A4" s="15"/>
      <c r="B4" s="7"/>
      <c r="C4" s="7"/>
      <c r="E4" s="7" t="s">
        <v>80</v>
      </c>
      <c r="F4" s="7"/>
      <c r="G4" s="7"/>
      <c r="K4" s="15"/>
      <c r="L4" s="7"/>
      <c r="M4" s="7"/>
      <c r="O4" s="7" t="s">
        <v>80</v>
      </c>
      <c r="P4" s="7"/>
    </row>
    <row r="5" spans="1:16" x14ac:dyDescent="0.2">
      <c r="A5" s="7" t="s">
        <v>77</v>
      </c>
      <c r="B5" s="7"/>
      <c r="C5" s="7"/>
      <c r="E5" s="7" t="s">
        <v>79</v>
      </c>
      <c r="F5" s="7"/>
      <c r="G5" s="7"/>
      <c r="K5" s="7" t="s">
        <v>77</v>
      </c>
      <c r="L5" s="7"/>
      <c r="M5" s="7"/>
      <c r="O5" s="7" t="s">
        <v>103</v>
      </c>
      <c r="P5" s="7"/>
    </row>
    <row r="6" spans="1:16" x14ac:dyDescent="0.2">
      <c r="A6" s="7" t="s">
        <v>78</v>
      </c>
      <c r="B6" s="7"/>
      <c r="C6" s="7"/>
      <c r="E6" s="18" t="s">
        <v>75</v>
      </c>
      <c r="F6" s="7"/>
      <c r="G6" s="7"/>
      <c r="K6" s="7" t="s">
        <v>84</v>
      </c>
      <c r="L6" s="7"/>
      <c r="M6" s="7"/>
      <c r="O6" s="18" t="s">
        <v>104</v>
      </c>
      <c r="P6" s="7"/>
    </row>
    <row r="7" spans="1:16" x14ac:dyDescent="0.2">
      <c r="A7" s="16" t="s">
        <v>83</v>
      </c>
      <c r="B7" s="7"/>
      <c r="C7" s="7"/>
      <c r="E7" s="7"/>
      <c r="F7" s="7"/>
      <c r="G7" s="7"/>
      <c r="K7" s="16" t="s">
        <v>83</v>
      </c>
      <c r="L7" s="7"/>
      <c r="M7" s="7"/>
      <c r="O7" s="7"/>
      <c r="P7" s="7"/>
    </row>
    <row r="8" spans="1:16" x14ac:dyDescent="0.2">
      <c r="A8" s="17" t="s">
        <v>88</v>
      </c>
      <c r="B8" s="7"/>
      <c r="C8" s="7"/>
      <c r="E8" s="7" t="s">
        <v>81</v>
      </c>
      <c r="F8" s="7"/>
      <c r="G8" s="7"/>
      <c r="K8" s="17" t="s">
        <v>98</v>
      </c>
      <c r="L8" s="7"/>
      <c r="M8" s="7"/>
      <c r="O8" s="7" t="s">
        <v>81</v>
      </c>
      <c r="P8" s="7"/>
    </row>
    <row r="9" spans="1:16" x14ac:dyDescent="0.2">
      <c r="A9" s="18" t="s">
        <v>89</v>
      </c>
      <c r="B9" s="7"/>
      <c r="C9" s="7"/>
      <c r="E9" s="7" t="s">
        <v>82</v>
      </c>
      <c r="F9" s="7"/>
      <c r="G9" s="7"/>
      <c r="K9" s="18" t="s">
        <v>99</v>
      </c>
      <c r="L9" s="7"/>
      <c r="M9" s="7"/>
      <c r="O9" s="7" t="s">
        <v>105</v>
      </c>
      <c r="P9" s="7"/>
    </row>
    <row r="10" spans="1:16" x14ac:dyDescent="0.2">
      <c r="A10" s="18" t="s">
        <v>91</v>
      </c>
      <c r="B10" s="7"/>
      <c r="C10" s="7"/>
      <c r="E10" s="18" t="s">
        <v>76</v>
      </c>
      <c r="F10" s="7"/>
      <c r="G10" s="7"/>
      <c r="K10" s="18" t="s">
        <v>100</v>
      </c>
      <c r="L10" s="7"/>
      <c r="M10" s="7"/>
      <c r="O10" s="18" t="s">
        <v>106</v>
      </c>
      <c r="P10" s="7"/>
    </row>
    <row r="11" spans="1:16" x14ac:dyDescent="0.2">
      <c r="A11" s="18" t="s">
        <v>92</v>
      </c>
      <c r="B11" s="7"/>
      <c r="C11" s="7"/>
      <c r="E11" s="7"/>
      <c r="F11" s="7"/>
      <c r="G11" s="7"/>
      <c r="K11" s="18" t="s">
        <v>101</v>
      </c>
      <c r="L11" s="7"/>
      <c r="M11" s="7"/>
      <c r="N11" s="7"/>
      <c r="O11" s="7"/>
      <c r="P11" s="7"/>
    </row>
    <row r="12" spans="1:16" x14ac:dyDescent="0.2">
      <c r="A12" s="18" t="s">
        <v>90</v>
      </c>
      <c r="K12" s="18" t="s">
        <v>102</v>
      </c>
    </row>
    <row r="13" spans="1:16" x14ac:dyDescent="0.2">
      <c r="B13" s="7"/>
      <c r="C13" s="7"/>
      <c r="E13" s="7"/>
      <c r="F13" s="7"/>
    </row>
    <row r="14" spans="1:16" x14ac:dyDescent="0.2">
      <c r="A14" s="15"/>
      <c r="B14" s="7"/>
      <c r="C14" s="7"/>
      <c r="E14" s="15"/>
      <c r="F14" s="7"/>
    </row>
    <row r="15" spans="1:16" x14ac:dyDescent="0.2">
      <c r="A15" s="7"/>
      <c r="B15" s="7"/>
      <c r="C15" s="7"/>
      <c r="E15" s="7"/>
      <c r="F15" s="7"/>
    </row>
    <row r="16" spans="1:16" x14ac:dyDescent="0.2">
      <c r="A16" s="15" t="s">
        <v>23</v>
      </c>
      <c r="B16" s="7"/>
      <c r="C16" s="7"/>
      <c r="E16" s="15" t="s">
        <v>24</v>
      </c>
      <c r="F16" s="7"/>
    </row>
    <row r="17" spans="1:6" x14ac:dyDescent="0.2">
      <c r="A17" s="15"/>
      <c r="B17" s="7"/>
      <c r="C17" s="7"/>
      <c r="E17" s="7"/>
      <c r="F17" s="7"/>
    </row>
    <row r="18" spans="1:6" x14ac:dyDescent="0.2">
      <c r="A18" s="15"/>
      <c r="B18" s="7"/>
      <c r="C18" s="7"/>
      <c r="E18" s="7" t="s">
        <v>80</v>
      </c>
      <c r="F18" s="7"/>
    </row>
    <row r="19" spans="1:6" x14ac:dyDescent="0.2">
      <c r="A19" s="7" t="s">
        <v>77</v>
      </c>
      <c r="B19" s="7"/>
      <c r="C19" s="7"/>
      <c r="E19" s="7" t="s">
        <v>85</v>
      </c>
      <c r="F19" s="7"/>
    </row>
    <row r="20" spans="1:6" x14ac:dyDescent="0.2">
      <c r="A20" s="7" t="s">
        <v>84</v>
      </c>
      <c r="B20" s="7"/>
      <c r="C20" s="7"/>
      <c r="E20" s="18" t="s">
        <v>86</v>
      </c>
      <c r="F20" s="7"/>
    </row>
    <row r="21" spans="1:6" x14ac:dyDescent="0.2">
      <c r="A21" s="16" t="s">
        <v>83</v>
      </c>
      <c r="B21" s="7"/>
      <c r="C21" s="7"/>
      <c r="E21" s="7"/>
      <c r="F21" s="7"/>
    </row>
    <row r="22" spans="1:6" x14ac:dyDescent="0.2">
      <c r="A22" s="17" t="s">
        <v>93</v>
      </c>
      <c r="B22" s="7"/>
      <c r="C22" s="7"/>
      <c r="E22" s="7" t="s">
        <v>81</v>
      </c>
      <c r="F22" s="7"/>
    </row>
    <row r="23" spans="1:6" x14ac:dyDescent="0.2">
      <c r="A23" s="18" t="s">
        <v>94</v>
      </c>
      <c r="B23" s="7"/>
      <c r="C23" s="7"/>
      <c r="E23" s="7" t="s">
        <v>82</v>
      </c>
      <c r="F23" s="7"/>
    </row>
    <row r="24" spans="1:6" x14ac:dyDescent="0.2">
      <c r="A24" s="18" t="s">
        <v>95</v>
      </c>
      <c r="B24" s="7"/>
      <c r="C24" s="7"/>
      <c r="E24" s="18" t="s">
        <v>87</v>
      </c>
      <c r="F24" s="7"/>
    </row>
    <row r="25" spans="1:6" x14ac:dyDescent="0.2">
      <c r="A25" s="18" t="s">
        <v>96</v>
      </c>
      <c r="B25" s="7"/>
      <c r="C25" s="7"/>
      <c r="D25" s="7"/>
      <c r="E25" s="7"/>
      <c r="F25" s="7"/>
    </row>
    <row r="26" spans="1:6" x14ac:dyDescent="0.2">
      <c r="A26" s="18" t="s">
        <v>97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1"/>
  <sheetViews>
    <sheetView workbookViewId="0">
      <selection activeCell="D14" sqref="D14"/>
    </sheetView>
  </sheetViews>
  <sheetFormatPr defaultRowHeight="12.75" x14ac:dyDescent="0.2"/>
  <cols>
    <col min="1" max="1" width="26" style="7" bestFit="1" customWidth="1"/>
    <col min="2" max="7" width="9.140625" style="7"/>
    <col min="8" max="8" width="12.28515625" style="7" bestFit="1" customWidth="1"/>
    <col min="9" max="9" width="9.140625" style="7"/>
    <col min="10" max="10" width="12.28515625" style="7" bestFit="1" customWidth="1"/>
    <col min="11" max="11" width="9.140625" style="7"/>
    <col min="12" max="13" width="12.28515625" style="7" bestFit="1" customWidth="1"/>
    <col min="14" max="16384" width="9.140625" style="7"/>
  </cols>
  <sheetData>
    <row r="1" spans="1:4" x14ac:dyDescent="0.2">
      <c r="A1" s="9" t="s">
        <v>12</v>
      </c>
    </row>
    <row r="2" spans="1:4" x14ac:dyDescent="0.2">
      <c r="B2" s="10" t="s">
        <v>72</v>
      </c>
      <c r="C2" s="11">
        <v>19</v>
      </c>
      <c r="D2" s="10" t="s">
        <v>73</v>
      </c>
    </row>
    <row r="3" spans="1:4" x14ac:dyDescent="0.2">
      <c r="A3" s="7" t="s">
        <v>63</v>
      </c>
      <c r="B3" s="7">
        <v>40</v>
      </c>
      <c r="C3" s="7">
        <v>400</v>
      </c>
      <c r="D3" s="7">
        <v>100</v>
      </c>
    </row>
    <row r="4" spans="1:4" x14ac:dyDescent="0.2">
      <c r="A4" s="7" t="s">
        <v>62</v>
      </c>
      <c r="B4" s="7">
        <v>100</v>
      </c>
      <c r="C4" s="7">
        <v>100</v>
      </c>
      <c r="D4" s="7">
        <v>90</v>
      </c>
    </row>
    <row r="5" spans="1:4" x14ac:dyDescent="0.2">
      <c r="A5" s="7" t="s">
        <v>64</v>
      </c>
      <c r="B5" s="7">
        <v>75</v>
      </c>
      <c r="C5" s="7">
        <v>75</v>
      </c>
      <c r="D5" s="7">
        <v>60</v>
      </c>
    </row>
    <row r="6" spans="1:4" x14ac:dyDescent="0.2">
      <c r="A6" s="7" t="s">
        <v>65</v>
      </c>
      <c r="B6" s="7">
        <v>1.2</v>
      </c>
      <c r="C6" s="7">
        <v>1.2</v>
      </c>
      <c r="D6" s="7">
        <v>1.3</v>
      </c>
    </row>
    <row r="7" spans="1:4" x14ac:dyDescent="0.2">
      <c r="A7" s="7" t="s">
        <v>67</v>
      </c>
      <c r="B7" s="7">
        <v>4</v>
      </c>
      <c r="C7" s="7">
        <v>4</v>
      </c>
      <c r="D7" s="7">
        <v>5</v>
      </c>
    </row>
    <row r="8" spans="1:4" x14ac:dyDescent="0.2">
      <c r="A8" s="7" t="s">
        <v>66</v>
      </c>
      <c r="B8" s="7">
        <v>5.1299999999999998E-2</v>
      </c>
      <c r="C8" s="7">
        <v>5.1299999999999998E-2</v>
      </c>
      <c r="D8" s="7">
        <v>0.05</v>
      </c>
    </row>
    <row r="10" spans="1:4" x14ac:dyDescent="0.2">
      <c r="A10" s="9" t="s">
        <v>45</v>
      </c>
    </row>
    <row r="12" spans="1:4" x14ac:dyDescent="0.2">
      <c r="A12" s="7" t="s">
        <v>70</v>
      </c>
      <c r="B12" s="7">
        <f>B4/(1+B8)^B7</f>
        <v>81.864071860663714</v>
      </c>
      <c r="C12" s="7">
        <f>C4/(1+C8)^C7</f>
        <v>81.864071860663714</v>
      </c>
      <c r="D12" s="7">
        <f>D4/(1+D8)^D7</f>
        <v>70.517354982161308</v>
      </c>
    </row>
    <row r="13" spans="1:4" x14ac:dyDescent="0.2">
      <c r="A13" s="7" t="s">
        <v>63</v>
      </c>
      <c r="B13" s="7">
        <f>(B3+B5)*B16-B12*B18</f>
        <v>39.999999999999979</v>
      </c>
      <c r="C13" s="7">
        <f>(C3+C5)*C16-C12*C18</f>
        <v>400</v>
      </c>
      <c r="D13" s="7">
        <f>(D3+D5)*D16-D12*D18</f>
        <v>89.483355445397535</v>
      </c>
    </row>
    <row r="14" spans="1:4" x14ac:dyDescent="0.2">
      <c r="A14" s="7" t="s">
        <v>68</v>
      </c>
      <c r="B14" s="7">
        <v>0.24689822903681466</v>
      </c>
      <c r="C14" s="7">
        <v>0.6058700972418436</v>
      </c>
      <c r="D14" s="7">
        <v>0.1</v>
      </c>
    </row>
    <row r="15" spans="1:4" x14ac:dyDescent="0.2">
      <c r="A15" s="7" t="s">
        <v>51</v>
      </c>
      <c r="B15" s="7">
        <f>LN((B3+B5)/B12)/(B14*B7^0.5)+(B14*B7^0.5)/2</f>
        <v>0.93518165273661236</v>
      </c>
      <c r="C15" s="7">
        <f>LN((C3+C5)/C12)/(C14*C7^0.5)+(C14*C7^0.5)/2</f>
        <v>2.0568862477742771</v>
      </c>
      <c r="D15" s="7">
        <f>LN((D3+D5)/D12)/(D14*D7^0.5)+(D14*D7^0.5)/2</f>
        <v>3.7758913156780411</v>
      </c>
    </row>
    <row r="16" spans="1:4" x14ac:dyDescent="0.2">
      <c r="A16" s="1" t="s">
        <v>71</v>
      </c>
      <c r="B16" s="7">
        <f>NORMSDIST(B15)</f>
        <v>0.82515265392144355</v>
      </c>
      <c r="C16" s="7">
        <f>NORMSDIST(C15)</f>
        <v>0.98015141543567896</v>
      </c>
      <c r="D16" s="7">
        <f>NORMSDIST(D15)</f>
        <v>0.99992028174787417</v>
      </c>
    </row>
    <row r="17" spans="1:4" x14ac:dyDescent="0.2">
      <c r="A17" s="7" t="s">
        <v>52</v>
      </c>
      <c r="B17" s="7">
        <f>B15-B14*B7^0.5</f>
        <v>0.44138519466298304</v>
      </c>
      <c r="C17" s="7">
        <f>C15-C14*C7^0.5</f>
        <v>0.84514605329058989</v>
      </c>
      <c r="D17" s="7">
        <f>D15-D14*D7^0.5</f>
        <v>3.552284517928062</v>
      </c>
    </row>
    <row r="18" spans="1:4" x14ac:dyDescent="0.2">
      <c r="A18" s="7" t="s">
        <v>55</v>
      </c>
      <c r="B18" s="7">
        <f>NORMSDIST(B17)</f>
        <v>0.67053292064919012</v>
      </c>
      <c r="C18" s="7">
        <f>NORMSDIST(C17)</f>
        <v>0.80098535097977797</v>
      </c>
      <c r="D18" s="7">
        <f>NORMSDIST(D17)</f>
        <v>0.99980904916382085</v>
      </c>
    </row>
    <row r="20" spans="1:4" x14ac:dyDescent="0.2">
      <c r="A20" s="1" t="s">
        <v>74</v>
      </c>
      <c r="B20" s="7">
        <f>B6/(B16*(1+B5/B3))</f>
        <v>0.50583525649977812</v>
      </c>
      <c r="C20" s="7">
        <f>C6/(C16*(1+C5/C3))</f>
        <v>1.0309900081512333</v>
      </c>
      <c r="D20" s="7">
        <f>D6/(D16*(1+D5/D3))</f>
        <v>0.81256477624370116</v>
      </c>
    </row>
    <row r="21" spans="1:4" x14ac:dyDescent="0.2">
      <c r="A21" s="1" t="s">
        <v>69</v>
      </c>
      <c r="B21" s="7">
        <f>(1-B16)*((B3+B5)/B5)*B20</f>
        <v>0.13561405996632653</v>
      </c>
      <c r="C21" s="7">
        <f>(1-C16)*((C3+C5)/C5)*C20</f>
        <v>0.12960338495781198</v>
      </c>
      <c r="D21" s="7">
        <f>(1-D16)*((D3+D5)/D5)*D20</f>
        <v>1.7273664986976336E-4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Binomial</vt:lpstr>
      <vt:lpstr>Multiperiod Binomial-$</vt:lpstr>
      <vt:lpstr>Multiperiod Binomial-%</vt:lpstr>
      <vt:lpstr>Black-Scholes</vt:lpstr>
      <vt:lpstr>Option beta</vt:lpstr>
      <vt:lpstr>Binomial Tree</vt:lpstr>
      <vt:lpstr>Debt Beta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</dc:creator>
  <cp:lastModifiedBy>Rich, Steven</cp:lastModifiedBy>
  <dcterms:created xsi:type="dcterms:W3CDTF">2007-07-12T13:39:06Z</dcterms:created>
  <dcterms:modified xsi:type="dcterms:W3CDTF">2024-07-12T21:08:47Z</dcterms:modified>
</cp:coreProperties>
</file>